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7" activeTab="7"/>
  </bookViews>
  <sheets>
    <sheet name="HP NP4" sheetId="1" state="hidden" r:id="rId1"/>
    <sheet name="RCC SD" sheetId="2" state="hidden" r:id="rId2"/>
    <sheet name="School Extension (Modified)" sheetId="7" state="hidden" r:id="rId3"/>
    <sheet name="Mawblei (Original)" sheetId="6" state="hidden" r:id="rId4"/>
    <sheet name="Science Labaratory (Option 2)" sheetId="5" state="hidden" r:id="rId5"/>
    <sheet name="Science Labaratory" sheetId="3" state="hidden" r:id="rId6"/>
    <sheet name="GENERAL ABSTRACT (Modified)" sheetId="4" state="hidden" r:id="rId7"/>
    <sheet name="Abstract" sheetId="12" r:id="rId8"/>
  </sheets>
  <definedNames>
    <definedName name="_xlnm.Print_Area" localSheetId="7">Abstract!$A$1:$J$43</definedName>
    <definedName name="_xlnm.Print_Area" localSheetId="3">'Mawblei (Original)'!$A$1:$R$301</definedName>
    <definedName name="_xlnm.Print_Area" localSheetId="2">'School Extension (Modified)'!$A$1:$R$260</definedName>
    <definedName name="_xlnm.Print_Area" localSheetId="5">'Science Labaratory'!$A$1:$R$200</definedName>
    <definedName name="_xlnm.Print_Area" localSheetId="4">'Science Labaratory (Option 2)'!$A$1:$R$194</definedName>
  </definedNames>
  <calcPr calcId="124519"/>
</workbook>
</file>

<file path=xl/calcChain.xml><?xml version="1.0" encoding="utf-8"?>
<calcChain xmlns="http://schemas.openxmlformats.org/spreadsheetml/2006/main">
  <c r="J15" i="12"/>
  <c r="J16" s="1"/>
  <c r="J21" s="1"/>
  <c r="J20" l="1"/>
  <c r="J19"/>
  <c r="J17"/>
  <c r="J18" s="1"/>
  <c r="J22" l="1"/>
  <c r="J23" l="1"/>
  <c r="J24" s="1"/>
  <c r="J25"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114" l="1"/>
  <c r="N116" s="1"/>
  <c r="N117" s="1"/>
  <c r="N245"/>
  <c r="J146"/>
  <c r="N181"/>
  <c r="N183" s="1"/>
  <c r="N253"/>
  <c r="N265"/>
  <c r="N225"/>
  <c r="N228" s="1"/>
  <c r="N182" l="1"/>
  <c r="N184" s="1"/>
  <c r="N256"/>
  <c r="F133" l="1"/>
  <c r="N8"/>
  <c r="J118"/>
  <c r="N118" s="1"/>
  <c r="N119" s="1"/>
  <c r="N120" s="1"/>
  <c r="N107"/>
  <c r="J21"/>
  <c r="J27" s="1"/>
  <c r="F20"/>
  <c r="H40" s="1"/>
  <c r="H46" s="1"/>
  <c r="J69"/>
  <c r="L13"/>
  <c r="J20" s="1"/>
  <c r="J13"/>
  <c r="H13"/>
  <c r="N7"/>
  <c r="L109" l="1"/>
  <c r="N109" s="1"/>
  <c r="N133"/>
  <c r="F146"/>
  <c r="F149" s="1"/>
  <c r="N149" s="1"/>
  <c r="F136"/>
  <c r="N136" s="1"/>
  <c r="L83"/>
  <c r="H20"/>
  <c r="N20" s="1"/>
  <c r="N108"/>
  <c r="L69"/>
  <c r="N13"/>
  <c r="N9"/>
  <c r="R10" s="1"/>
  <c r="N83" l="1"/>
  <c r="N110"/>
  <c r="N111" s="1"/>
  <c r="L97"/>
  <c r="L98" s="1"/>
  <c r="D151"/>
  <c r="N151" s="1"/>
  <c r="N146"/>
  <c r="N185" s="1"/>
  <c r="R186" s="1"/>
  <c r="N21"/>
  <c r="N22" s="1"/>
  <c r="R23" s="1"/>
  <c r="H27"/>
  <c r="N27" s="1"/>
  <c r="N28" s="1"/>
  <c r="R29" s="1"/>
  <c r="L84"/>
  <c r="J89"/>
  <c r="N89" s="1"/>
  <c r="N90" s="1"/>
  <c r="N91" s="1"/>
  <c r="N14"/>
  <c r="R15" s="1"/>
  <c r="N40"/>
  <c r="N41" s="1"/>
  <c r="N42" s="1"/>
  <c r="H52"/>
  <c r="R34" l="1"/>
  <c r="R35" s="1"/>
  <c r="N137"/>
  <c r="N84"/>
  <c r="L85"/>
  <c r="N85" s="1"/>
  <c r="H57"/>
  <c r="N52"/>
  <c r="N53" s="1"/>
  <c r="N54" s="1"/>
  <c r="N46"/>
  <c r="R79" l="1"/>
  <c r="R80" s="1"/>
  <c r="N86"/>
  <c r="N87" s="1"/>
  <c r="N57"/>
  <c r="H62"/>
  <c r="N62" l="1"/>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N112" s="1"/>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35" i="7" l="1"/>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51"/>
  <c r="N136"/>
  <c r="H170" i="6"/>
  <c r="J224" i="7" l="1"/>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5"/>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P378" i="1"/>
  <c r="T379" s="1"/>
  <c r="H645"/>
  <c r="P645" s="1"/>
  <c r="P557" l="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44"/>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J488"/>
  <c r="T489"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T354" i="1" l="1"/>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alcChain>
</file>

<file path=xl/sharedStrings.xml><?xml version="1.0" encoding="utf-8"?>
<sst xmlns="http://schemas.openxmlformats.org/spreadsheetml/2006/main" count="5205" uniqueCount="561">
  <si>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</si>
  <si>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</si>
  <si>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</si>
  <si>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</si>
  <si>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</si>
  <si>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</si>
  <si>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</si>
  <si>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</si>
  <si>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</si>
  <si>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</si>
  <si>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</si>
  <si>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</si>
  <si>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</si>
  <si>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</si>
  <si>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</si>
  <si>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</si>
  <si>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</si>
  <si>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</si>
  <si>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</si>
  <si>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</si>
  <si>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</si>
  <si>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</si>
  <si>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</si>
  <si>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</si>
  <si>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</si>
  <si>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</si>
  <si>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</si>
  <si>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</si>
  <si>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</si>
  <si>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</si>
  <si>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</si>
  <si>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</si>
  <si>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</si>
  <si>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</si>
  <si>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</si>
  <si>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</si>
  <si>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</si>
  <si>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</si>
  <si>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</si>
  <si>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</si>
  <si>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</si>
  <si>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</si>
  <si>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</si>
  <si>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</si>
  <si>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</si>
  <si>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</si>
  <si>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</si>
  <si>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</si>
  <si>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</si>
  <si>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</si>
  <si>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</si>
  <si>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</si>
  <si>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</si>
  <si>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</si>
  <si>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</si>
  <si>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</si>
  <si>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</si>
  <si>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</si>
  <si>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</si>
  <si>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</si>
  <si>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</si>
  <si>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</si>
  <si>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</si>
  <si>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</si>
  <si>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</si>
  <si>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</si>
  <si>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</si>
  <si>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</si>
  <si>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</si>
  <si>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</si>
  <si>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</si>
  <si>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</si>
  <si>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</si>
  <si>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</si>
  <si>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</si>
  <si>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</si>
  <si>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</si>
  <si>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</si>
  <si>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</si>
  <si>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</si>
  <si>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</si>
  <si>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</si>
  <si>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</si>
  <si>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</si>
  <si>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</si>
  <si>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</si>
  <si>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</si>
  <si>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</si>
  <si>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</si>
  <si>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</si>
  <si>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</si>
  <si>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</si>
  <si>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</si>
  <si>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</si>
  <si>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</si>
  <si>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</si>
  <si>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</si>
  <si>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</si>
  <si>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</si>
  <si>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</si>
  <si>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</si>
  <si>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</si>
  <si>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</si>
  <si>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</si>
  <si>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</si>
  <si>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</si>
  <si>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</si>
  <si>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</si>
  <si>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</si>
  <si>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</si>
  <si>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</si>
  <si>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</si>
  <si>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</si>
  <si>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</si>
  <si>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</si>
  <si>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</si>
  <si>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</si>
  <si>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</si>
  <si>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</si>
  <si>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</si>
  <si>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</si>
  <si>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</si>
  <si>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</si>
  <si>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</si>
  <si>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</si>
  <si>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</si>
  <si>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</si>
  <si>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</si>
  <si>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</si>
  <si>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</si>
  <si>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</si>
  <si>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</si>
  <si>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</si>
  <si>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</si>
  <si>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</si>
  <si>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</si>
  <si>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</si>
  <si>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</si>
  <si>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</si>
  <si>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</si>
  <si>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</si>
  <si>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</si>
  <si>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</si>
  <si>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</si>
  <si>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</si>
  <si>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</si>
  <si>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</si>
  <si>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</si>
  <si>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</si>
  <si>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</si>
  <si>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</si>
  <si>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</si>
  <si>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</si>
  <si>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</si>
  <si>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</si>
  <si>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</si>
  <si>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</si>
  <si>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</si>
  <si>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</si>
  <si>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</si>
  <si>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</si>
  <si>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</si>
  <si>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</si>
  <si>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</si>
  <si>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</si>
  <si>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</si>
  <si>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</si>
  <si>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</si>
  <si>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</si>
  <si>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</si>
  <si>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</si>
  <si>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</si>
  <si>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</si>
  <si>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</si>
  <si>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</si>
  <si>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</si>
  <si>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</si>
  <si>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</si>
  <si>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</si>
  <si>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</si>
  <si>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</si>
  <si>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</si>
  <si>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</si>
  <si>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</si>
  <si>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</si>
  <si>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</si>
  <si>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</si>
  <si>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</si>
  <si>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</si>
  <si>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</si>
  <si>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</si>
  <si>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</si>
  <si>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</si>
  <si>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</si>
  <si>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</si>
  <si>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</si>
  <si>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</si>
  <si>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</si>
  <si>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</si>
  <si>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</si>
  <si>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</si>
  <si>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</si>
  <si>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</si>
  <si>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</si>
  <si>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</si>
  <si>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</si>
  <si>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</si>
  <si>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</si>
  <si>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</si>
  <si>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</si>
  <si>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</si>
  <si>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</si>
  <si>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</si>
  <si>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</si>
  <si>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</si>
  <si>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</si>
  <si>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</si>
  <si>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</si>
  <si>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</si>
  <si>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</si>
  <si>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</si>
  <si>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</si>
  <si>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</si>
  <si>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</si>
  <si>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</si>
  <si>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</si>
  <si>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</si>
  <si>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</si>
  <si>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</si>
  <si>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</si>
  <si>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</si>
  <si>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</si>
  <si>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</si>
  <si>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</si>
  <si>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</si>
  <si>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</si>
  <si>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</si>
  <si>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</si>
  <si>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</si>
  <si>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</si>
  <si>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</si>
  <si>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</si>
  <si>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</si>
  <si>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</si>
  <si>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</si>
  <si>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</si>
  <si>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</si>
  <si>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</si>
  <si>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</si>
  <si>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</si>
  <si>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</si>
  <si>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</si>
  <si>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</si>
  <si>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</si>
  <si>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</si>
  <si>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</si>
  <si>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</si>
  <si>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</si>
  <si>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</si>
  <si>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</si>
  <si>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</si>
  <si>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</si>
  <si>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</si>
  <si>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</si>
  <si>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</si>
  <si>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</si>
  <si>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</si>
  <si>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</si>
  <si>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</si>
  <si>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</si>
  <si>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</si>
  <si>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</si>
  <si>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</si>
  <si>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</si>
  <si>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</si>
  <si>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</si>
  <si>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</si>
  <si>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</si>
  <si>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</si>
  <si>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</si>
  <si>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</si>
  <si>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</si>
  <si>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</si>
  <si>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</si>
  <si>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</si>
  <si>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</si>
  <si>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</si>
  <si>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</si>
  <si>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</si>
  <si>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</si>
  <si>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</si>
  <si>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</si>
  <si>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</si>
  <si>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</si>
  <si>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</si>
  <si>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</si>
  <si>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</si>
  <si>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</si>
  <si>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</si>
  <si>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</si>
  <si>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</si>
  <si>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</si>
  <si>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</si>
  <si>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</si>
  <si>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</si>
  <si>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</si>
  <si>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</si>
  <si>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</si>
  <si>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</si>
  <si>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</si>
  <si>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</si>
  <si>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</si>
  <si>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</si>
  <si>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</si>
  <si>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</si>
  <si>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</si>
  <si>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</si>
  <si>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</si>
  <si>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</si>
  <si>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</si>
  <si>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</si>
  <si>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</si>
  <si>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</si>
  <si>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</si>
  <si>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</si>
  <si>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</si>
  <si>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</si>
  <si>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</si>
  <si>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</si>
  <si>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</si>
  <si>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</si>
  <si>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</si>
  <si>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</si>
  <si>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</si>
  <si>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</si>
  <si>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</si>
  <si>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</si>
  <si>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</si>
  <si>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</si>
  <si>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</si>
  <si>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</si>
  <si>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</si>
  <si>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</si>
  <si>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</si>
  <si>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</si>
  <si>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</si>
  <si>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</si>
  <si>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</si>
  <si>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</si>
  <si>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</si>
  <si>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</si>
  <si>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</si>
  <si>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</si>
  <si>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</si>
  <si>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</si>
  <si>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</si>
  <si>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</si>
  <si>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</si>
  <si>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</si>
  <si>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</si>
  <si>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</si>
  <si>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</si>
  <si>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</si>
  <si>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</si>
  <si>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</si>
  <si>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</si>
  <si>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</si>
  <si>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</si>
  <si>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</si>
  <si>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</si>
  <si>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</si>
  <si>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</si>
  <si>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</si>
  <si>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</si>
  <si>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</si>
  <si>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</si>
  <si>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</si>
  <si>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</si>
  <si>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</si>
  <si>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</si>
  <si>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</si>
  <si>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</si>
  <si>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</si>
  <si>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</si>
  <si>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</si>
  <si>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</si>
  <si>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</si>
  <si>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</si>
  <si>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</si>
  <si>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</si>
  <si>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</si>
  <si>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</si>
  <si>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</si>
  <si>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</si>
  <si>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</si>
  <si>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</si>
  <si>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</si>
  <si>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</si>
  <si>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</si>
  <si>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</si>
  <si>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</si>
  <si>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</si>
  <si>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</si>
  <si>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</si>
  <si>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</si>
  <si>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</si>
  <si>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</si>
  <si>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</si>
  <si>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</si>
  <si>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</si>
  <si>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</si>
  <si>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</si>
  <si>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</si>
  <si>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</si>
  <si>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</si>
  <si>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</si>
  <si>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</si>
  <si>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</si>
  <si>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</si>
  <si>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</si>
  <si>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</si>
  <si>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</si>
  <si>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</si>
  <si>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</si>
  <si>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</si>
  <si>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</si>
  <si>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</si>
  <si>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</si>
  <si>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</si>
  <si>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</si>
  <si>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</si>
  <si>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</si>
  <si>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</si>
  <si>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</si>
  <si>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</si>
  <si>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</si>
  <si>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</si>
  <si>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</si>
  <si>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</si>
  <si>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</si>
  <si>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</si>
  <si>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</si>
  <si>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</si>
  <si>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</si>
  <si>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</si>
  <si>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</si>
  <si>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</si>
  <si>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</si>
  <si>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</si>
  <si>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</si>
  <si>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</si>
  <si>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</si>
  <si>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</si>
  <si>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</si>
  <si>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</si>
  <si>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</si>
  <si>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</si>
  <si>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</si>
  <si>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</si>
  <si>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</si>
  <si>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</si>
  <si>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</si>
  <si>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</si>
  <si>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</si>
  <si>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</si>
  <si>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</si>
  <si>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</si>
  <si>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</si>
  <si>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</si>
  <si>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</si>
  <si>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</si>
  <si>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</si>
  <si>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</si>
  <si>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</si>
  <si>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</si>
  <si>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</si>
  <si>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</si>
  <si>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</si>
  <si>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</si>
  <si>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</si>
  <si>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</si>
  <si>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</si>
  <si>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</si>
  <si>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</si>
  <si>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</si>
  <si>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</si>
  <si>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</si>
  <si>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</si>
  <si>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</si>
  <si>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</si>
  <si>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</si>
  <si>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</si>
  <si>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</si>
  <si>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</si>
  <si>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</si>
  <si>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</si>
  <si>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</si>
  <si>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</si>
  <si>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</si>
  <si>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</si>
  <si>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</si>
  <si>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</si>
  <si>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</si>
  <si>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</si>
  <si>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</si>
  <si>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</si>
  <si>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</si>
  <si>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</si>
  <si>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</si>
  <si>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</si>
  <si>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</si>
  <si>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</si>
  <si>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</si>
  <si>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</si>
  <si>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</si>
  <si>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</si>
  <si>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</si>
  <si>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</si>
  <si>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</si>
  <si>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</si>
  <si>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</si>
  <si>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</si>
  <si>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</si>
  <si>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</si>
  <si>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</si>
  <si>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</si>
  <si>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</si>
  <si>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</si>
  <si>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</si>
  <si>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</si>
  <si>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</si>
  <si>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</si>
  <si>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</si>
  <si>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</si>
  <si>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</si>
  <si>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</si>
  <si>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</si>
  <si>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</si>
  <si>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</si>
  <si>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</si>
  <si>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</si>
  <si>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Abstract</t>
  </si>
  <si>
    <t>Sl no.</t>
  </si>
  <si>
    <t>Block No.</t>
  </si>
  <si>
    <t>Amount in Rs.</t>
  </si>
  <si>
    <t xml:space="preserve">               Add 7.5% T &amp; P and common Estt</t>
  </si>
  <si>
    <t>Block No. 11</t>
  </si>
  <si>
    <t>Block No. 12</t>
  </si>
  <si>
    <t>Add 7.5% for Electrification</t>
  </si>
  <si>
    <t>Add 1% for Labour Cess</t>
  </si>
  <si>
    <t>Grand Total</t>
  </si>
  <si>
    <t>Add 7.5% Agency charge</t>
  </si>
  <si>
    <t>Add 3% for Contingency</t>
  </si>
  <si>
    <t>Add 7.5% for Water Supply and Sanitary Fittings</t>
  </si>
  <si>
    <t>(Rupees Seventeen Crore Fifty Three Lakh Fifty Thousand Four Hundred Fourty Five only).</t>
  </si>
  <si>
    <t>Block No. 39</t>
  </si>
  <si>
    <t>Block No. 40</t>
  </si>
  <si>
    <t>Add 20% for Price escallation (since the estimated cost is as per Shcedule of Rates (P.W.D-Building) 2015-16) and cost of material and labour has increased since then)</t>
  </si>
  <si>
    <t>Meghalaya Public Work Department Schedule of Rates 2015-16 (Buildings).</t>
  </si>
  <si>
    <t>Part B: New/Fresh Proposal under Model 2</t>
  </si>
  <si>
    <t>For the Proposed Additional 4 Blocks (G+3) for slum Housing at Nongmynsong.</t>
  </si>
</sst>
</file>

<file path=xl/styles.xml><?xml version="1.0" encoding="utf-8"?>
<styleSheet xmlns="http://schemas.openxmlformats.org/spreadsheetml/2006/main">
  <numFmts count="4">
    <numFmt numFmtId="43" formatCode="_ * #,##0.00_ ;_ * \-#,##0.00_ ;_ * &quot;-&quot;??_ ;_ @_ "/>
    <numFmt numFmtId="164" formatCode="_(* #,##0.00_);_(* \(#,##0.00\);_(* &quot;-&quot;??_);_(@_)"/>
    <numFmt numFmtId="165" formatCode="0.0"/>
    <numFmt numFmtId="166" formatCode="0.000"/>
  </numFmts>
  <fonts count="47">
    <font>
      <sz val="10"/>
      <name val="Arial"/>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sz val="11"/>
      <name val="Arial"/>
      <family val="2"/>
    </font>
    <font>
      <b/>
      <sz val="11"/>
      <name val="Arial"/>
      <family val="2"/>
    </font>
    <font>
      <b/>
      <u/>
      <sz val="14"/>
      <name val="Arial"/>
      <family val="2"/>
    </font>
    <font>
      <b/>
      <u/>
      <sz val="12"/>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70">
    <xf numFmtId="0" fontId="0" fillId="0" borderId="0" xfId="0"/>
    <xf numFmtId="0" fontId="0" fillId="0" borderId="0" xfId="0" quotePrefix="1"/>
    <xf numFmtId="2" fontId="0" fillId="0" borderId="0" xfId="0" applyNumberFormat="1"/>
    <xf numFmtId="0" fontId="2" fillId="0" borderId="0" xfId="0" applyFont="1"/>
    <xf numFmtId="0" fontId="0" fillId="0" borderId="0" xfId="0" quotePrefix="1" applyAlignment="1">
      <alignment horizontal="right" vertical="top"/>
    </xf>
    <xf numFmtId="0" fontId="3" fillId="0" borderId="0" xfId="0" quotePrefix="1" applyFont="1"/>
    <xf numFmtId="0" fontId="3"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2" fillId="0" borderId="0" xfId="1" applyFont="1"/>
    <xf numFmtId="43" fontId="0" fillId="0" borderId="1" xfId="1" applyFont="1" applyBorder="1"/>
    <xf numFmtId="43" fontId="2"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1"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2" fillId="0" borderId="0" xfId="0" applyFont="1" applyAlignment="1">
      <alignment horizontal="right"/>
    </xf>
    <xf numFmtId="0" fontId="2" fillId="0" borderId="0" xfId="0" quotePrefix="1" applyFont="1" applyAlignment="1">
      <alignment horizontal="center"/>
    </xf>
    <xf numFmtId="0" fontId="3"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3" fillId="0" borderId="0" xfId="0" applyFont="1" applyBorder="1"/>
    <xf numFmtId="43" fontId="0" fillId="0" borderId="0" xfId="1" applyFont="1" applyBorder="1"/>
    <xf numFmtId="0" fontId="2" fillId="0" borderId="0" xfId="0" applyFont="1" applyBorder="1" applyAlignment="1">
      <alignment horizontal="right"/>
    </xf>
    <xf numFmtId="0" fontId="2" fillId="0" borderId="0" xfId="0" applyFont="1" applyAlignment="1">
      <alignment horizontal="center"/>
    </xf>
    <xf numFmtId="2" fontId="0" fillId="0" borderId="0" xfId="0" quotePrefix="1" applyNumberForma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xf numFmtId="0" fontId="0" fillId="0" borderId="0" xfId="0" applyBorder="1" applyAlignment="1">
      <alignment horizontal="left"/>
    </xf>
    <xf numFmtId="0" fontId="6"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6"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3" fillId="0" borderId="0" xfId="0" quotePrefix="1" applyFont="1" applyBorder="1"/>
    <xf numFmtId="0" fontId="0" fillId="0" borderId="0" xfId="0" quotePrefix="1" applyBorder="1"/>
    <xf numFmtId="0" fontId="3"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3" fillId="0" borderId="0" xfId="0" applyFont="1" applyBorder="1" applyAlignment="1">
      <alignment horizontal="left" vertical="center"/>
    </xf>
    <xf numFmtId="2" fontId="0" fillId="0" borderId="1" xfId="0" applyNumberFormat="1" applyBorder="1" applyAlignment="1">
      <alignment vertical="center"/>
    </xf>
    <xf numFmtId="0" fontId="7" fillId="0" borderId="0" xfId="0" applyFont="1" applyAlignment="1">
      <alignment horizontal="left"/>
    </xf>
    <xf numFmtId="0" fontId="7" fillId="0" borderId="0" xfId="0" applyFont="1" applyAlignment="1"/>
    <xf numFmtId="166" fontId="0" fillId="0" borderId="1" xfId="0" applyNumberFormat="1" applyBorder="1"/>
    <xf numFmtId="0" fontId="2" fillId="0" borderId="0" xfId="0" applyFont="1" applyAlignment="1">
      <alignment horizontal="center" vertical="center" wrapText="1"/>
    </xf>
    <xf numFmtId="2" fontId="0" fillId="0" borderId="0" xfId="0" quotePrefix="1" applyNumberForma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8"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1" fillId="0" borderId="0" xfId="0" quotePrefix="1" applyFont="1" applyAlignment="1">
      <alignment horizontal="left"/>
    </xf>
    <xf numFmtId="0" fontId="1"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6" fillId="0" borderId="0" xfId="0" quotePrefix="1"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0" borderId="0" xfId="0" applyFont="1" applyAlignment="1">
      <alignment horizontal="center" vertical="center"/>
    </xf>
    <xf numFmtId="43" fontId="2" fillId="0" borderId="0" xfId="0" applyNumberFormat="1" applyFont="1" applyBorder="1"/>
    <xf numFmtId="0" fontId="2"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43" fontId="2" fillId="0" borderId="0" xfId="0" applyNumberFormat="1" applyFont="1" applyAlignment="1">
      <alignment vertical="center"/>
    </xf>
    <xf numFmtId="0" fontId="0" fillId="0" borderId="0" xfId="0" applyBorder="1" applyAlignment="1">
      <alignment horizontal="left" vertical="top" wrapText="1"/>
    </xf>
    <xf numFmtId="0" fontId="8" fillId="0" borderId="0" xfId="0" applyFont="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2" fillId="0" borderId="0" xfId="0" applyNumberFormat="1" applyFont="1" applyBorder="1" applyAlignment="1">
      <alignment horizontal="center" vertical="center"/>
    </xf>
    <xf numFmtId="0" fontId="1" fillId="0" borderId="0" xfId="0" quotePrefix="1" applyFont="1" applyAlignment="1">
      <alignment horizontal="center"/>
    </xf>
    <xf numFmtId="0" fontId="10" fillId="0" borderId="0" xfId="0" applyFont="1" applyAlignment="1">
      <alignment horizontal="right"/>
    </xf>
    <xf numFmtId="43" fontId="6" fillId="0" borderId="0" xfId="0" applyNumberFormat="1" applyFont="1" applyBorder="1" applyAlignment="1">
      <alignment horizontal="right"/>
    </xf>
    <xf numFmtId="0" fontId="10" fillId="0" borderId="1" xfId="0" applyFont="1" applyBorder="1" applyAlignment="1">
      <alignment horizontal="right"/>
    </xf>
    <xf numFmtId="43" fontId="10" fillId="0" borderId="1" xfId="0" applyNumberFormat="1" applyFont="1" applyBorder="1" applyAlignment="1">
      <alignment horizontal="right"/>
    </xf>
    <xf numFmtId="43" fontId="10" fillId="0" borderId="0" xfId="0" applyNumberFormat="1" applyFont="1" applyBorder="1" applyAlignment="1">
      <alignment horizontal="right"/>
    </xf>
    <xf numFmtId="0" fontId="1" fillId="0" borderId="0" xfId="0" applyFont="1" applyAlignment="1">
      <alignment horizontal="right"/>
    </xf>
    <xf numFmtId="0" fontId="2" fillId="0" borderId="1" xfId="0" applyFont="1" applyBorder="1"/>
    <xf numFmtId="2" fontId="2" fillId="0" borderId="0" xfId="0" applyNumberFormat="1" applyFont="1" applyBorder="1" applyAlignment="1">
      <alignment horizontal="left" vertical="center"/>
    </xf>
    <xf numFmtId="43" fontId="2" fillId="0" borderId="0" xfId="1" applyFont="1" applyBorder="1" applyAlignment="1">
      <alignment horizontal="center"/>
    </xf>
    <xf numFmtId="43" fontId="2" fillId="0" borderId="0" xfId="1" applyFont="1" applyBorder="1"/>
    <xf numFmtId="2" fontId="2" fillId="0" borderId="0" xfId="0" applyNumberFormat="1" applyFont="1" applyBorder="1" applyAlignment="1">
      <alignment vertical="center"/>
    </xf>
    <xf numFmtId="0" fontId="2" fillId="0" borderId="0" xfId="1" applyNumberFormat="1" applyFont="1" applyBorder="1" applyAlignment="1"/>
    <xf numFmtId="2" fontId="2" fillId="0" borderId="0" xfId="0" quotePrefix="1" applyNumberFormat="1" applyFont="1" applyBorder="1" applyAlignment="1">
      <alignment vertical="center"/>
    </xf>
    <xf numFmtId="43" fontId="2" fillId="0" borderId="0" xfId="1" applyFont="1" applyBorder="1" applyAlignment="1">
      <alignment vertical="center"/>
    </xf>
    <xf numFmtId="0" fontId="2" fillId="0" borderId="0" xfId="1" quotePrefix="1" applyNumberFormat="1" applyFont="1" applyBorder="1" applyAlignment="1">
      <alignment vertical="center"/>
    </xf>
    <xf numFmtId="0" fontId="6" fillId="0" borderId="0" xfId="0" applyFont="1" applyBorder="1" applyAlignment="1">
      <alignment horizontal="left" vertical="top"/>
    </xf>
    <xf numFmtId="2" fontId="6" fillId="0" borderId="1" xfId="0" applyNumberFormat="1" applyFont="1" applyBorder="1" applyAlignment="1">
      <alignment horizontal="center"/>
    </xf>
    <xf numFmtId="0" fontId="6" fillId="0" borderId="1" xfId="0" quotePrefix="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0" xfId="0" quotePrefix="1" applyFont="1" applyAlignment="1">
      <alignment horizontal="center"/>
    </xf>
    <xf numFmtId="2" fontId="6" fillId="0" borderId="0" xfId="0" quotePrefix="1" applyNumberFormat="1" applyFont="1" applyAlignment="1">
      <alignment horizontal="right"/>
    </xf>
    <xf numFmtId="2" fontId="6" fillId="0" borderId="0" xfId="0" quotePrefix="1" applyNumberFormat="1" applyFont="1" applyAlignment="1"/>
    <xf numFmtId="0" fontId="6" fillId="0" borderId="0" xfId="0" quotePrefix="1" applyFont="1"/>
    <xf numFmtId="0" fontId="6" fillId="0" borderId="1" xfId="0" quotePrefix="1" applyFont="1" applyBorder="1"/>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2" fontId="17" fillId="0" borderId="0" xfId="0" applyNumberFormat="1" applyFont="1" applyBorder="1" applyAlignment="1">
      <alignment horizontal="center"/>
    </xf>
    <xf numFmtId="0" fontId="17" fillId="0" borderId="0" xfId="0" applyFont="1" applyBorder="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11" fillId="0" borderId="0" xfId="0" applyFont="1" applyBorder="1"/>
    <xf numFmtId="0" fontId="17" fillId="0" borderId="0" xfId="0" applyFont="1" applyBorder="1" applyAlignment="1">
      <alignment horizontal="center"/>
    </xf>
    <xf numFmtId="0" fontId="17" fillId="0" borderId="0" xfId="0" applyFont="1" applyBorder="1" applyAlignment="1">
      <alignment horizontal="right"/>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6" fillId="0" borderId="0" xfId="0" applyFont="1"/>
    <xf numFmtId="0" fontId="17" fillId="0" borderId="0" xfId="0" quotePrefix="1" applyFont="1" applyFill="1" applyBorder="1"/>
    <xf numFmtId="0" fontId="16" fillId="0" borderId="0" xfId="0" applyFont="1" applyBorder="1" applyAlignment="1">
      <alignment horizontal="center"/>
    </xf>
    <xf numFmtId="0" fontId="19" fillId="0" borderId="0" xfId="0" applyFont="1" applyAlignment="1">
      <alignment horizontal="justify" vertical="top" wrapText="1"/>
    </xf>
    <xf numFmtId="0" fontId="20" fillId="0" borderId="0" xfId="0" applyFont="1"/>
    <xf numFmtId="0" fontId="20" fillId="0" borderId="0" xfId="0" applyFont="1" applyAlignment="1">
      <alignment horizontal="center"/>
    </xf>
    <xf numFmtId="0" fontId="20" fillId="0" borderId="0" xfId="0" quotePrefix="1" applyFont="1" applyAlignment="1">
      <alignment horizontal="center"/>
    </xf>
    <xf numFmtId="0" fontId="21" fillId="0" borderId="0" xfId="0" applyFont="1"/>
    <xf numFmtId="2" fontId="20" fillId="0" borderId="0" xfId="0" applyNumberFormat="1" applyFont="1" applyAlignment="1">
      <alignment horizontal="center"/>
    </xf>
    <xf numFmtId="2" fontId="20" fillId="0" borderId="0" xfId="0" applyNumberFormat="1" applyFont="1" applyBorder="1" applyAlignment="1">
      <alignment horizontal="center"/>
    </xf>
    <xf numFmtId="0" fontId="20" fillId="0" borderId="1" xfId="0" quotePrefix="1" applyFont="1" applyBorder="1" applyAlignment="1">
      <alignment horizontal="center"/>
    </xf>
    <xf numFmtId="2" fontId="20" fillId="0" borderId="1" xfId="0" applyNumberFormat="1" applyFont="1" applyBorder="1"/>
    <xf numFmtId="0" fontId="20" fillId="0" borderId="0" xfId="0" quotePrefix="1" applyFont="1" applyBorder="1" applyAlignment="1">
      <alignment horizontal="center"/>
    </xf>
    <xf numFmtId="2" fontId="20" fillId="0" borderId="0" xfId="0" applyNumberFormat="1" applyFont="1" applyBorder="1" applyAlignment="1"/>
    <xf numFmtId="0" fontId="20" fillId="0" borderId="0" xfId="0" applyFont="1" applyBorder="1"/>
    <xf numFmtId="2" fontId="20" fillId="0" borderId="0" xfId="0" quotePrefix="1" applyNumberFormat="1" applyFont="1" applyAlignment="1">
      <alignment horizontal="right"/>
    </xf>
    <xf numFmtId="2" fontId="20" fillId="0" borderId="0" xfId="0" applyNumberFormat="1" applyFont="1" applyAlignment="1">
      <alignment horizontal="right"/>
    </xf>
    <xf numFmtId="2" fontId="20" fillId="0" borderId="0" xfId="0" applyNumberFormat="1" applyFont="1" applyAlignment="1">
      <alignment horizontal="right"/>
    </xf>
    <xf numFmtId="0" fontId="20" fillId="0" borderId="0" xfId="0" quotePrefix="1" applyFont="1" applyAlignment="1">
      <alignment horizontal="left"/>
    </xf>
    <xf numFmtId="0" fontId="20" fillId="0" borderId="0" xfId="0" applyFont="1" applyAlignment="1">
      <alignment horizontal="right"/>
    </xf>
    <xf numFmtId="0" fontId="13" fillId="0" borderId="0" xfId="0" applyFont="1" applyAlignment="1">
      <alignment horizontal="center" vertical="center"/>
    </xf>
    <xf numFmtId="2" fontId="20" fillId="0" borderId="0" xfId="0" applyNumberFormat="1" applyFont="1"/>
    <xf numFmtId="0" fontId="21" fillId="0" borderId="0" xfId="0" applyFont="1" applyBorder="1"/>
    <xf numFmtId="0" fontId="20" fillId="0" borderId="0" xfId="0" applyFont="1" applyBorder="1" applyAlignment="1">
      <alignment horizontal="center"/>
    </xf>
    <xf numFmtId="0" fontId="13" fillId="0" borderId="0" xfId="0" applyFont="1" applyBorder="1"/>
    <xf numFmtId="1" fontId="20" fillId="0" borderId="0" xfId="0" applyNumberFormat="1" applyFont="1" applyAlignment="1">
      <alignment horizontal="center"/>
    </xf>
    <xf numFmtId="2" fontId="21" fillId="0" borderId="0" xfId="0" applyNumberFormat="1" applyFont="1" applyBorder="1" applyAlignment="1">
      <alignment horizontal="right"/>
    </xf>
    <xf numFmtId="0" fontId="20" fillId="0" borderId="0" xfId="0" applyFont="1" applyBorder="1" applyAlignment="1">
      <alignment horizontal="right"/>
    </xf>
    <xf numFmtId="0" fontId="20" fillId="0" borderId="0" xfId="0" applyFont="1" applyAlignment="1">
      <alignment horizontal="justify" vertical="top" wrapText="1"/>
    </xf>
    <xf numFmtId="0" fontId="13" fillId="0" borderId="0" xfId="0" quotePrefix="1" applyFont="1" applyAlignment="1">
      <alignment horizontal="center"/>
    </xf>
    <xf numFmtId="0" fontId="13" fillId="0" borderId="0" xfId="0" applyFont="1" applyAlignment="1">
      <alignment horizontal="right"/>
    </xf>
    <xf numFmtId="0" fontId="20" fillId="0" borderId="0" xfId="0" applyFont="1" applyAlignment="1">
      <alignment vertical="top" wrapText="1"/>
    </xf>
    <xf numFmtId="0" fontId="13" fillId="0" borderId="0" xfId="0" applyFont="1" applyAlignment="1"/>
    <xf numFmtId="0" fontId="20" fillId="0" borderId="0" xfId="0" applyFont="1" applyAlignment="1"/>
    <xf numFmtId="0" fontId="20" fillId="0" borderId="0" xfId="0" quotePrefix="1" applyFont="1" applyAlignment="1"/>
    <xf numFmtId="2" fontId="20" fillId="0" borderId="0" xfId="0" applyNumberFormat="1" applyFont="1" applyBorder="1"/>
    <xf numFmtId="2" fontId="20" fillId="0" borderId="2" xfId="0" applyNumberFormat="1" applyFont="1" applyBorder="1"/>
    <xf numFmtId="0" fontId="20" fillId="0" borderId="2" xfId="0" applyFont="1" applyBorder="1"/>
    <xf numFmtId="0" fontId="20" fillId="0" borderId="0" xfId="0" quotePrefix="1" applyFont="1" applyAlignment="1">
      <alignment horizontal="left"/>
    </xf>
    <xf numFmtId="0" fontId="20" fillId="0" borderId="0" xfId="0" applyFont="1" applyAlignment="1">
      <alignment horizontal="left"/>
    </xf>
    <xf numFmtId="0" fontId="21" fillId="0"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center"/>
    </xf>
    <xf numFmtId="1" fontId="20" fillId="2" borderId="0" xfId="0" applyNumberFormat="1" applyFont="1" applyFill="1" applyAlignment="1">
      <alignment horizontal="center"/>
    </xf>
    <xf numFmtId="2" fontId="20" fillId="2" borderId="0" xfId="0" applyNumberFormat="1" applyFont="1" applyFill="1" applyAlignment="1">
      <alignment horizontal="center"/>
    </xf>
    <xf numFmtId="0" fontId="20" fillId="2" borderId="0" xfId="0" quotePrefix="1" applyFont="1" applyFill="1" applyBorder="1" applyAlignment="1">
      <alignment horizontal="center"/>
    </xf>
    <xf numFmtId="2" fontId="20" fillId="2" borderId="0" xfId="0" applyNumberFormat="1" applyFont="1" applyFill="1" applyBorder="1"/>
    <xf numFmtId="0" fontId="20" fillId="0" borderId="2" xfId="0" applyFont="1" applyBorder="1" applyAlignment="1">
      <alignment vertical="center"/>
    </xf>
    <xf numFmtId="1" fontId="20" fillId="0" borderId="2" xfId="0" applyNumberFormat="1" applyFont="1" applyBorder="1" applyAlignment="1">
      <alignment horizontal="center"/>
    </xf>
    <xf numFmtId="0" fontId="20" fillId="0" borderId="2" xfId="0" applyFont="1" applyBorder="1" applyAlignment="1">
      <alignment horizontal="center"/>
    </xf>
    <xf numFmtId="0" fontId="20" fillId="0" borderId="2" xfId="0" quotePrefix="1" applyFont="1" applyBorder="1" applyAlignment="1">
      <alignment horizontal="center"/>
    </xf>
    <xf numFmtId="0" fontId="21" fillId="0" borderId="0" xfId="0" applyFont="1" applyFill="1" applyBorder="1" applyAlignment="1">
      <alignment horizontal="center"/>
    </xf>
    <xf numFmtId="0" fontId="20" fillId="0" borderId="0" xfId="0" applyFont="1" applyBorder="1" applyAlignment="1">
      <alignment vertical="center"/>
    </xf>
    <xf numFmtId="1" fontId="20" fillId="0" borderId="0" xfId="0" applyNumberFormat="1" applyFont="1" applyBorder="1" applyAlignment="1">
      <alignment horizontal="center"/>
    </xf>
    <xf numFmtId="0" fontId="20" fillId="0" borderId="1" xfId="0"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center"/>
    </xf>
    <xf numFmtId="2" fontId="21" fillId="0" borderId="2" xfId="0" applyNumberFormat="1" applyFont="1" applyBorder="1" applyAlignment="1">
      <alignment horizontal="right"/>
    </xf>
    <xf numFmtId="1" fontId="21" fillId="0" borderId="0" xfId="0" applyNumberFormat="1" applyFont="1" applyAlignment="1">
      <alignment horizontal="center"/>
    </xf>
    <xf numFmtId="2" fontId="20" fillId="0" borderId="0" xfId="0" applyNumberFormat="1" applyFont="1" applyBorder="1" applyAlignment="1">
      <alignment horizontal="right"/>
    </xf>
    <xf numFmtId="0" fontId="20" fillId="0" borderId="0" xfId="0" quotePrefix="1" applyFont="1" applyFill="1" applyBorder="1"/>
    <xf numFmtId="2" fontId="20" fillId="0" borderId="0" xfId="0" quotePrefix="1" applyNumberFormat="1" applyFont="1" applyBorder="1" applyAlignment="1">
      <alignment horizontal="right"/>
    </xf>
    <xf numFmtId="0" fontId="20" fillId="0" borderId="0" xfId="0" quotePrefix="1" applyFont="1" applyBorder="1" applyAlignment="1"/>
    <xf numFmtId="0" fontId="20" fillId="0" borderId="0" xfId="0" applyFont="1" applyBorder="1" applyAlignment="1">
      <alignment vertical="top" wrapText="1"/>
    </xf>
    <xf numFmtId="2" fontId="20" fillId="0" borderId="0" xfId="0" applyNumberFormat="1" applyFont="1" applyBorder="1" applyAlignment="1">
      <alignment horizontal="left"/>
    </xf>
    <xf numFmtId="0" fontId="20" fillId="0" borderId="0"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top" wrapText="1"/>
    </xf>
    <xf numFmtId="0" fontId="20" fillId="0" borderId="1" xfId="0" applyFont="1" applyBorder="1" applyAlignment="1">
      <alignment horizontal="right"/>
    </xf>
    <xf numFmtId="2" fontId="27" fillId="0" borderId="2" xfId="0" applyNumberFormat="1" applyFont="1" applyBorder="1"/>
    <xf numFmtId="2" fontId="27" fillId="0" borderId="0" xfId="0" applyNumberFormat="1" applyFont="1" applyBorder="1"/>
    <xf numFmtId="0" fontId="26" fillId="0" borderId="0" xfId="0" applyFont="1"/>
    <xf numFmtId="0" fontId="27" fillId="0" borderId="0" xfId="0" quotePrefix="1" applyFont="1" applyAlignment="1">
      <alignment horizontal="center"/>
    </xf>
    <xf numFmtId="0" fontId="27" fillId="0" borderId="0" xfId="0" applyFont="1" applyAlignment="1">
      <alignment horizontal="right"/>
    </xf>
    <xf numFmtId="2" fontId="26" fillId="0" borderId="0" xfId="0" applyNumberFormat="1" applyFont="1" applyAlignment="1">
      <alignment horizontal="center"/>
    </xf>
    <xf numFmtId="0" fontId="27" fillId="0" borderId="0" xfId="0" quotePrefix="1" applyFont="1" applyBorder="1" applyAlignment="1">
      <alignment horizontal="center"/>
    </xf>
    <xf numFmtId="0" fontId="27" fillId="0" borderId="0" xfId="0" applyFont="1" applyBorder="1" applyAlignment="1">
      <alignment horizontal="right"/>
    </xf>
    <xf numFmtId="2" fontId="28" fillId="0" borderId="0" xfId="0" applyNumberFormat="1" applyFont="1" applyAlignment="1">
      <alignment horizontal="center"/>
    </xf>
    <xf numFmtId="0" fontId="27" fillId="0" borderId="0" xfId="0" applyFont="1" applyBorder="1" applyAlignment="1">
      <alignment horizontal="right" vertical="top" wrapText="1"/>
    </xf>
    <xf numFmtId="0" fontId="20" fillId="0" borderId="0" xfId="0" quotePrefix="1" applyFont="1" applyAlignment="1">
      <alignment horizontal="center" vertical="center" wrapText="1"/>
    </xf>
    <xf numFmtId="0" fontId="20" fillId="0" borderId="0" xfId="0" quotePrefix="1" applyFont="1" applyAlignment="1">
      <alignment horizontal="center" vertical="center"/>
    </xf>
    <xf numFmtId="0" fontId="20" fillId="0" borderId="0" xfId="0" quotePrefix="1" applyFont="1" applyBorder="1" applyAlignment="1">
      <alignment horizontal="center" vertical="center"/>
    </xf>
    <xf numFmtId="0" fontId="21" fillId="0" borderId="0" xfId="0" quotePrefix="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1"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43" fontId="20" fillId="0" borderId="0" xfId="1" applyFont="1" applyAlignment="1">
      <alignment horizontal="center" vertical="center"/>
    </xf>
    <xf numFmtId="43" fontId="20" fillId="0" borderId="0" xfId="1" applyFont="1" applyBorder="1" applyAlignment="1">
      <alignment horizontal="center" vertical="center"/>
    </xf>
    <xf numFmtId="43" fontId="24" fillId="0" borderId="0" xfId="0" applyNumberFormat="1" applyFont="1" applyBorder="1" applyAlignment="1">
      <alignment horizontal="center" vertical="center"/>
    </xf>
    <xf numFmtId="0" fontId="20" fillId="2" borderId="0" xfId="0" applyFont="1" applyFill="1" applyBorder="1" applyAlignment="1">
      <alignment horizontal="center" vertical="center"/>
    </xf>
    <xf numFmtId="43" fontId="25" fillId="0" borderId="0" xfId="0" applyNumberFormat="1" applyFont="1" applyBorder="1" applyAlignment="1">
      <alignment horizontal="center" vertical="center"/>
    </xf>
    <xf numFmtId="43" fontId="27" fillId="0" borderId="0" xfId="1" applyFont="1" applyAlignment="1">
      <alignment horizontal="center" vertical="center"/>
    </xf>
    <xf numFmtId="43" fontId="13" fillId="0" borderId="0" xfId="1" applyFont="1" applyAlignment="1">
      <alignment horizontal="center" vertical="center"/>
    </xf>
    <xf numFmtId="43" fontId="20" fillId="0" borderId="1" xfId="1" applyFont="1" applyBorder="1" applyAlignment="1">
      <alignment horizontal="center" vertical="center"/>
    </xf>
    <xf numFmtId="43" fontId="27" fillId="0" borderId="0" xfId="1" applyFont="1" applyBorder="1" applyAlignment="1">
      <alignment horizontal="center" vertical="center"/>
    </xf>
    <xf numFmtId="43" fontId="17" fillId="0" borderId="0" xfId="1" applyFont="1" applyBorder="1" applyAlignment="1">
      <alignment horizontal="center" vertical="center"/>
    </xf>
    <xf numFmtId="0" fontId="20" fillId="0" borderId="1" xfId="0" applyFont="1" applyBorder="1" applyAlignment="1">
      <alignment horizontal="center" vertical="center"/>
    </xf>
    <xf numFmtId="0" fontId="13" fillId="0" borderId="0" xfId="0" applyFont="1" applyBorder="1" applyAlignment="1">
      <alignment horizontal="center" vertical="center"/>
    </xf>
    <xf numFmtId="0" fontId="20" fillId="0" borderId="2" xfId="0" applyFont="1" applyBorder="1" applyAlignment="1">
      <alignment horizontal="center" vertical="center"/>
    </xf>
    <xf numFmtId="0" fontId="27" fillId="0" borderId="0" xfId="0" applyFont="1" applyBorder="1" applyAlignment="1">
      <alignment horizontal="center" vertical="center"/>
    </xf>
    <xf numFmtId="43" fontId="13" fillId="0" borderId="2" xfId="1"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Border="1" applyAlignment="1">
      <alignment horizontal="center" vertical="center"/>
    </xf>
    <xf numFmtId="2" fontId="2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20" fillId="0" borderId="0" xfId="0" applyFont="1" applyAlignment="1">
      <alignment horizontal="center" vertical="center" wrapText="1"/>
    </xf>
    <xf numFmtId="0" fontId="13" fillId="0" borderId="0" xfId="0" applyFont="1" applyAlignment="1">
      <alignment horizontal="center" vertical="top" wrapText="1"/>
    </xf>
    <xf numFmtId="0" fontId="20" fillId="0" borderId="0" xfId="0" applyFont="1" applyAlignment="1">
      <alignment horizontal="left" vertical="center" wrapText="1"/>
    </xf>
    <xf numFmtId="0" fontId="11" fillId="0" borderId="0" xfId="0" applyFont="1" applyFill="1" applyBorder="1" applyAlignment="1">
      <alignment horizontal="center"/>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left"/>
    </xf>
    <xf numFmtId="0" fontId="20" fillId="0" borderId="0" xfId="0" quotePrefix="1" applyFont="1" applyAlignment="1">
      <alignment horizontal="left"/>
    </xf>
    <xf numFmtId="2" fontId="20" fillId="0" borderId="0" xfId="0" applyNumberFormat="1" applyFont="1" applyAlignment="1">
      <alignment horizontal="right"/>
    </xf>
    <xf numFmtId="0" fontId="20" fillId="0" borderId="0" xfId="0" applyFont="1" applyAlignment="1">
      <alignment horizontal="justify" vertical="top"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xf>
    <xf numFmtId="0" fontId="13" fillId="0" borderId="0" xfId="0" applyFont="1" applyAlignment="1">
      <alignment horizontal="center" vertical="top" wrapText="1"/>
    </xf>
    <xf numFmtId="0" fontId="27" fillId="0" borderId="0" xfId="0" applyFont="1" applyBorder="1" applyAlignment="1">
      <alignment horizontal="right" vertical="top" wrapText="1"/>
    </xf>
    <xf numFmtId="0" fontId="20" fillId="0" borderId="0" xfId="0" applyFont="1" applyAlignment="1">
      <alignment horizontal="center"/>
    </xf>
    <xf numFmtId="0" fontId="20" fillId="0" borderId="0" xfId="0" applyFont="1" applyAlignment="1">
      <alignment horizontal="left" vertical="center" wrapText="1"/>
    </xf>
    <xf numFmtId="0" fontId="20" fillId="0" borderId="2" xfId="0" applyFont="1" applyBorder="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31" fillId="0" borderId="0" xfId="0" applyFont="1" applyAlignment="1">
      <alignment vertical="center" wrapText="1"/>
    </xf>
    <xf numFmtId="0" fontId="14" fillId="0" borderId="3" xfId="0" applyFont="1" applyFill="1" applyBorder="1" applyAlignment="1">
      <alignment horizontal="center" vertical="center"/>
    </xf>
    <xf numFmtId="0" fontId="33" fillId="0" borderId="0" xfId="0" applyFont="1" applyFill="1" applyBorder="1" applyAlignment="1">
      <alignment vertical="center"/>
    </xf>
    <xf numFmtId="43" fontId="33" fillId="0" borderId="0" xfId="1" applyNumberFormat="1" applyFont="1" applyFill="1" applyBorder="1" applyAlignment="1">
      <alignment vertical="center"/>
    </xf>
    <xf numFmtId="0" fontId="33" fillId="0" borderId="0" xfId="0" applyFont="1" applyFill="1" applyBorder="1"/>
    <xf numFmtId="0" fontId="21" fillId="0" borderId="3" xfId="0" applyFont="1" applyFill="1" applyBorder="1" applyAlignment="1">
      <alignment vertical="center"/>
    </xf>
    <xf numFmtId="43" fontId="13" fillId="0" borderId="3" xfId="1" applyNumberFormat="1" applyFont="1" applyFill="1" applyBorder="1" applyAlignment="1">
      <alignment vertical="center"/>
    </xf>
    <xf numFmtId="0" fontId="21" fillId="0" borderId="3" xfId="0" applyFont="1" applyFill="1" applyBorder="1" applyAlignment="1">
      <alignment horizontal="right" vertical="center"/>
    </xf>
    <xf numFmtId="43" fontId="13" fillId="0" borderId="0" xfId="1" applyNumberFormat="1" applyFont="1" applyFill="1" applyBorder="1" applyAlignment="1">
      <alignment vertical="center"/>
    </xf>
    <xf numFmtId="43" fontId="13" fillId="0" borderId="4" xfId="1"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xf numFmtId="0" fontId="21" fillId="0" borderId="11" xfId="0" applyFont="1" applyFill="1" applyBorder="1"/>
    <xf numFmtId="0" fontId="21" fillId="0" borderId="13" xfId="0" applyFont="1" applyFill="1" applyBorder="1"/>
    <xf numFmtId="0" fontId="21" fillId="0" borderId="9" xfId="0" applyFont="1" applyFill="1" applyBorder="1"/>
    <xf numFmtId="0" fontId="11" fillId="0" borderId="8" xfId="0" applyFont="1" applyFill="1" applyBorder="1" applyAlignment="1">
      <alignment horizontal="center" vertical="center"/>
    </xf>
    <xf numFmtId="0" fontId="11" fillId="0" borderId="9" xfId="0" applyFont="1" applyFill="1" applyBorder="1"/>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xf>
    <xf numFmtId="0" fontId="21" fillId="0" borderId="3" xfId="0" applyFont="1" applyFill="1" applyBorder="1" applyAlignment="1">
      <alignment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0" fillId="0" borderId="0" xfId="0" applyFont="1" applyBorder="1" applyAlignment="1">
      <alignment horizont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8" fillId="0" borderId="0" xfId="0" applyFont="1" applyAlignment="1">
      <alignment horizontal="center" wrapText="1"/>
    </xf>
    <xf numFmtId="0" fontId="11" fillId="0" borderId="0" xfId="0" applyFont="1" applyFill="1" applyBorder="1" applyAlignment="1">
      <alignment horizontal="center"/>
    </xf>
    <xf numFmtId="0" fontId="26" fillId="0" borderId="0" xfId="0" applyFont="1" applyFill="1" applyBorder="1" applyAlignment="1">
      <alignment vertic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0" fillId="2" borderId="0" xfId="0" applyFont="1" applyFill="1" applyBorder="1"/>
    <xf numFmtId="2" fontId="28" fillId="0" borderId="2" xfId="0" applyNumberFormat="1" applyFont="1" applyBorder="1"/>
    <xf numFmtId="43" fontId="20" fillId="0" borderId="0" xfId="1" applyFont="1" applyAlignment="1">
      <alignment horizontal="left"/>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0" fontId="21" fillId="0" borderId="2" xfId="0" applyFont="1" applyBorder="1" applyAlignment="1">
      <alignment horizontal="center" vertical="center"/>
    </xf>
    <xf numFmtId="0" fontId="11" fillId="0" borderId="0" xfId="0" applyFont="1" applyAlignment="1"/>
    <xf numFmtId="0" fontId="11" fillId="0" borderId="0" xfId="0" applyFont="1" applyFill="1" applyBorder="1" applyAlignment="1"/>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2" fontId="20" fillId="0" borderId="0" xfId="0" applyNumberFormat="1" applyFont="1" applyAlignment="1">
      <alignment horizontal="right" vertical="center"/>
    </xf>
    <xf numFmtId="2" fontId="20" fillId="0" borderId="0" xfId="0" applyNumberFormat="1"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2" fontId="27" fillId="0" borderId="0" xfId="0" applyNumberFormat="1" applyFont="1" applyBorder="1" applyAlignment="1">
      <alignment horizontal="center" wrapText="1"/>
    </xf>
    <xf numFmtId="43" fontId="13" fillId="0" borderId="0" xfId="1" applyFont="1" applyBorder="1" applyAlignment="1">
      <alignment horizontal="center" vertical="center"/>
    </xf>
    <xf numFmtId="0" fontId="20" fillId="0" borderId="15" xfId="0" applyFont="1" applyBorder="1"/>
    <xf numFmtId="0" fontId="21" fillId="0" borderId="15" xfId="0" applyFont="1" applyBorder="1"/>
    <xf numFmtId="2" fontId="20" fillId="0" borderId="15" xfId="0" quotePrefix="1" applyNumberFormat="1" applyFont="1" applyBorder="1" applyAlignment="1">
      <alignment horizontal="right"/>
    </xf>
    <xf numFmtId="2" fontId="20" fillId="0" borderId="15" xfId="0" applyNumberFormat="1" applyFont="1" applyBorder="1" applyAlignment="1">
      <alignment horizontal="right"/>
    </xf>
    <xf numFmtId="0" fontId="20" fillId="0" borderId="15" xfId="0" applyFont="1" applyBorder="1" applyAlignment="1">
      <alignment horizontal="left"/>
    </xf>
    <xf numFmtId="0" fontId="20" fillId="0" borderId="15" xfId="0" quotePrefix="1" applyFont="1" applyBorder="1" applyAlignment="1">
      <alignment horizontal="left"/>
    </xf>
    <xf numFmtId="0" fontId="20" fillId="0" borderId="15" xfId="0" quotePrefix="1" applyFont="1" applyBorder="1" applyAlignment="1">
      <alignment horizontal="center"/>
    </xf>
    <xf numFmtId="43" fontId="20" fillId="0" borderId="15" xfId="1" applyFont="1" applyBorder="1" applyAlignment="1">
      <alignment horizontal="center" vertical="center"/>
    </xf>
    <xf numFmtId="0" fontId="13" fillId="0" borderId="0" xfId="0" applyFont="1" applyAlignment="1">
      <alignment vertical="center" wrapText="1"/>
    </xf>
    <xf numFmtId="0" fontId="13" fillId="0" borderId="0" xfId="0" quotePrefix="1" applyFont="1" applyAlignment="1">
      <alignment horizontal="center" vertical="center" wrapText="1"/>
    </xf>
    <xf numFmtId="0" fontId="24" fillId="0" borderId="0" xfId="0" applyFont="1" applyAlignment="1">
      <alignment horizontal="center" vertical="center"/>
    </xf>
    <xf numFmtId="0" fontId="13" fillId="2" borderId="0" xfId="0" applyFont="1" applyFill="1" applyBorder="1" applyAlignment="1">
      <alignment horizontal="center" vertical="center"/>
    </xf>
    <xf numFmtId="0" fontId="13" fillId="0" borderId="0" xfId="0" quotePrefix="1" applyFont="1" applyAlignment="1">
      <alignment horizontal="center" vertical="center"/>
    </xf>
    <xf numFmtId="0" fontId="13" fillId="0" borderId="0" xfId="0" quotePrefix="1" applyFont="1" applyBorder="1" applyAlignment="1">
      <alignment horizontal="center" vertical="center"/>
    </xf>
    <xf numFmtId="0" fontId="24" fillId="0" borderId="0" xfId="0" quotePrefix="1" applyFont="1" applyBorder="1" applyAlignment="1">
      <alignment horizontal="center" vertical="center" wrapText="1"/>
    </xf>
    <xf numFmtId="0" fontId="14" fillId="0" borderId="0" xfId="0" applyFont="1" applyAlignment="1">
      <alignment horizontal="center" vertical="center"/>
    </xf>
    <xf numFmtId="0" fontId="27" fillId="0" borderId="0" xfId="0" applyFont="1" applyBorder="1" applyAlignment="1">
      <alignment horizontal="center"/>
    </xf>
    <xf numFmtId="43" fontId="27" fillId="0" borderId="0" xfId="1" applyFont="1" applyAlignment="1">
      <alignment horizontal="center"/>
    </xf>
    <xf numFmtId="2" fontId="20" fillId="0" borderId="0" xfId="0" quotePrefix="1" applyNumberFormat="1"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right" vertical="center"/>
    </xf>
    <xf numFmtId="0" fontId="1" fillId="0" borderId="0" xfId="0" applyFont="1" applyAlignment="1">
      <alignment horizontal="justify" vertical="top" wrapText="1"/>
    </xf>
    <xf numFmtId="0" fontId="35" fillId="0" borderId="0" xfId="0" applyFont="1" applyAlignment="1">
      <alignment horizontal="justify" vertical="top" wrapText="1"/>
    </xf>
    <xf numFmtId="0" fontId="20" fillId="0" borderId="0" xfId="0" applyFont="1" applyBorder="1" applyAlignment="1">
      <alignment horizontal="center"/>
    </xf>
    <xf numFmtId="0" fontId="28" fillId="0" borderId="0" xfId="0" applyFont="1" applyAlignment="1">
      <alignment horizontal="center" vertical="center" wrapText="1"/>
    </xf>
    <xf numFmtId="0" fontId="20" fillId="0" borderId="0" xfId="0" quotePrefix="1" applyFont="1" applyAlignment="1">
      <alignment horizontal="left"/>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Border="1" applyAlignment="1">
      <alignment horizontal="center"/>
    </xf>
    <xf numFmtId="2" fontId="20" fillId="0" borderId="0" xfId="0" applyNumberFormat="1" applyFont="1" applyAlignment="1">
      <alignment horizontal="right" vertical="center"/>
    </xf>
    <xf numFmtId="0" fontId="27" fillId="0" borderId="0" xfId="0" applyFont="1" applyBorder="1" applyAlignment="1">
      <alignment horizontal="right" vertical="top" wrapText="1"/>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Fill="1" applyBorder="1" applyAlignment="1">
      <alignment horizontal="center" vertical="center" wrapText="1"/>
    </xf>
    <xf numFmtId="0" fontId="13" fillId="0" borderId="0" xfId="0" applyFont="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Alignment="1">
      <alignment horizontal="center"/>
    </xf>
    <xf numFmtId="0" fontId="28" fillId="0" borderId="0" xfId="0" applyFont="1" applyBorder="1" applyAlignment="1">
      <alignment horizontal="center"/>
    </xf>
    <xf numFmtId="0" fontId="20" fillId="0" borderId="0" xfId="0" applyFont="1" applyAlignment="1">
      <alignment horizontal="left"/>
    </xf>
    <xf numFmtId="0" fontId="28" fillId="0" borderId="0" xfId="0" applyFont="1" applyAlignment="1">
      <alignment horizontal="center" vertical="center" wrapText="1"/>
    </xf>
    <xf numFmtId="0" fontId="20" fillId="0" borderId="0" xfId="0" quotePrefix="1" applyFont="1" applyAlignment="1">
      <alignment horizontal="left"/>
    </xf>
    <xf numFmtId="0" fontId="11" fillId="0" borderId="0" xfId="0" applyFont="1" applyFill="1" applyBorder="1" applyAlignment="1">
      <alignment horizont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28" fillId="0" borderId="0" xfId="0" applyFont="1" applyAlignment="1">
      <alignment horizontal="center" wrapText="1"/>
    </xf>
    <xf numFmtId="0" fontId="13" fillId="0" borderId="0" xfId="0" applyFont="1" applyAlignment="1">
      <alignment horizontal="center"/>
    </xf>
    <xf numFmtId="0" fontId="20" fillId="0" borderId="0" xfId="0" applyFont="1" applyBorder="1" applyAlignment="1">
      <alignment wrapText="1"/>
    </xf>
    <xf numFmtId="165" fontId="28" fillId="0" borderId="0" xfId="0" applyNumberFormat="1" applyFont="1" applyAlignment="1">
      <alignment horizontal="center"/>
    </xf>
    <xf numFmtId="1" fontId="28" fillId="0" borderId="0" xfId="0" applyNumberFormat="1" applyFont="1" applyAlignment="1">
      <alignment horizontal="center"/>
    </xf>
    <xf numFmtId="0" fontId="1" fillId="0" borderId="0" xfId="0" applyFont="1" applyAlignment="1">
      <alignment horizontal="justify"/>
    </xf>
    <xf numFmtId="0" fontId="20" fillId="0" borderId="0" xfId="0" applyFont="1" applyAlignment="1">
      <alignment wrapText="1"/>
    </xf>
    <xf numFmtId="2" fontId="20" fillId="0" borderId="0" xfId="0" applyNumberFormat="1" applyFont="1" applyAlignment="1">
      <alignment horizontal="right"/>
    </xf>
    <xf numFmtId="2" fontId="20" fillId="0" borderId="0" xfId="0" applyNumberFormat="1" applyFont="1" applyAlignment="1">
      <alignment horizontal="right" vertical="center"/>
    </xf>
    <xf numFmtId="0" fontId="11" fillId="0" borderId="0" xfId="0" applyFont="1" applyFill="1" applyBorder="1" applyAlignment="1">
      <alignment horizontal="center"/>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0" fontId="20" fillId="0" borderId="0" xfId="0" applyFont="1" applyAlignment="1">
      <alignment horizontal="center"/>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43" fontId="13" fillId="0" borderId="3" xfId="1" applyFont="1" applyFill="1" applyBorder="1" applyAlignment="1">
      <alignment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Border="1" applyAlignment="1">
      <alignment horizontal="center" vertical="center" wrapText="1"/>
    </xf>
    <xf numFmtId="0" fontId="36" fillId="0" borderId="0" xfId="0" applyFont="1"/>
    <xf numFmtId="0" fontId="17" fillId="0" borderId="0" xfId="0" quotePrefix="1" applyFont="1" applyAlignment="1">
      <alignment horizontal="center"/>
    </xf>
    <xf numFmtId="2" fontId="17" fillId="0" borderId="0" xfId="0" applyNumberFormat="1" applyFont="1" applyAlignment="1">
      <alignment horizontal="center"/>
    </xf>
    <xf numFmtId="0" fontId="17" fillId="0" borderId="0" xfId="0" quotePrefix="1" applyFont="1" applyBorder="1" applyAlignment="1">
      <alignment horizontal="center"/>
    </xf>
    <xf numFmtId="0" fontId="17" fillId="0" borderId="1" xfId="0" quotePrefix="1" applyFont="1" applyBorder="1" applyAlignment="1">
      <alignment horizontal="center"/>
    </xf>
    <xf numFmtId="2" fontId="17" fillId="0" borderId="0" xfId="0" quotePrefix="1" applyNumberFormat="1" applyFont="1" applyAlignment="1">
      <alignment horizontal="right"/>
    </xf>
    <xf numFmtId="0" fontId="17" fillId="0" borderId="0" xfId="0" quotePrefix="1" applyFont="1" applyAlignment="1">
      <alignment horizontal="left"/>
    </xf>
    <xf numFmtId="1" fontId="17" fillId="0" borderId="0" xfId="0" applyNumberFormat="1" applyFont="1" applyAlignment="1">
      <alignment horizontal="center"/>
    </xf>
    <xf numFmtId="0" fontId="17" fillId="0" borderId="0" xfId="0" applyFont="1" applyAlignment="1">
      <alignment horizontal="center"/>
    </xf>
    <xf numFmtId="0" fontId="38"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39"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3" fillId="0" borderId="0" xfId="0" applyFont="1" applyAlignment="1">
      <alignment horizontal="left"/>
    </xf>
    <xf numFmtId="164" fontId="20" fillId="0" borderId="0" xfId="1" applyNumberFormat="1" applyFont="1" applyAlignment="1">
      <alignment horizontal="left"/>
    </xf>
    <xf numFmtId="2" fontId="17" fillId="0" borderId="0" xfId="0" applyNumberFormat="1" applyFont="1" applyAlignment="1">
      <alignment horizontal="right"/>
    </xf>
    <xf numFmtId="0" fontId="17" fillId="0" borderId="0" xfId="0" applyFont="1" applyAlignment="1">
      <alignment horizontal="center"/>
    </xf>
    <xf numFmtId="0" fontId="40" fillId="0" borderId="0" xfId="0" applyFont="1" applyAlignment="1"/>
    <xf numFmtId="0" fontId="36" fillId="0" borderId="0" xfId="0" applyFont="1" applyAlignment="1">
      <alignment horizontal="center"/>
    </xf>
    <xf numFmtId="1" fontId="36" fillId="0" borderId="0" xfId="0" applyNumberFormat="1" applyFont="1" applyAlignment="1">
      <alignment horizontal="center"/>
    </xf>
    <xf numFmtId="2" fontId="36" fillId="0" borderId="0" xfId="0" applyNumberFormat="1" applyFont="1" applyAlignment="1">
      <alignment horizontal="center"/>
    </xf>
    <xf numFmtId="0" fontId="36" fillId="0" borderId="0" xfId="0" quotePrefix="1" applyFont="1" applyBorder="1" applyAlignment="1">
      <alignment horizontal="center"/>
    </xf>
    <xf numFmtId="2" fontId="36" fillId="0" borderId="0" xfId="0" applyNumberFormat="1" applyFont="1"/>
    <xf numFmtId="0" fontId="36" fillId="0" borderId="0" xfId="0" applyFont="1" applyBorder="1"/>
    <xf numFmtId="0" fontId="17" fillId="0" borderId="0" xfId="0" applyFont="1" applyAlignment="1"/>
    <xf numFmtId="2" fontId="17" fillId="0" borderId="1" xfId="0" applyNumberFormat="1" applyFont="1" applyBorder="1" applyAlignment="1">
      <alignment horizontal="center"/>
    </xf>
    <xf numFmtId="1" fontId="26" fillId="0" borderId="0" xfId="0" applyNumberFormat="1" applyFont="1" applyAlignment="1">
      <alignment horizontal="center"/>
    </xf>
    <xf numFmtId="0" fontId="17" fillId="2" borderId="0" xfId="0" quotePrefix="1" applyFont="1" applyFill="1" applyBorder="1" applyAlignment="1">
      <alignment horizontal="center"/>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27" fillId="0" borderId="0" xfId="0" applyFont="1" applyAlignment="1">
      <alignment horizontal="center" vertical="center" wrapText="1"/>
    </xf>
    <xf numFmtId="0" fontId="29" fillId="0" borderId="0" xfId="0" applyFont="1" applyAlignment="1">
      <alignment horizontal="center" vertical="center"/>
    </xf>
    <xf numFmtId="0" fontId="28" fillId="0" borderId="0" xfId="0" applyFont="1"/>
    <xf numFmtId="0" fontId="27" fillId="0" borderId="0" xfId="0" quotePrefix="1" applyFont="1" applyAlignment="1">
      <alignment horizontal="center" vertical="center" wrapText="1"/>
    </xf>
    <xf numFmtId="0" fontId="41" fillId="0" borderId="0" xfId="0" applyFont="1"/>
    <xf numFmtId="0" fontId="27" fillId="0" borderId="0" xfId="0" applyFont="1" applyAlignment="1">
      <alignment horizontal="center"/>
    </xf>
    <xf numFmtId="0" fontId="25" fillId="0" borderId="0" xfId="0" applyFont="1" applyAlignment="1">
      <alignment horizontal="center" vertical="center"/>
    </xf>
    <xf numFmtId="0" fontId="27" fillId="0" borderId="0" xfId="0" quotePrefix="1" applyFont="1" applyAlignment="1">
      <alignment horizontal="center" vertical="center"/>
    </xf>
    <xf numFmtId="0" fontId="27" fillId="0" borderId="0" xfId="0" quotePrefix="1" applyFont="1" applyBorder="1" applyAlignment="1">
      <alignment horizontal="center" vertical="center"/>
    </xf>
    <xf numFmtId="0" fontId="27" fillId="0" borderId="0" xfId="0" applyFont="1" applyAlignment="1">
      <alignment horizontal="center" vertical="center" wrapText="1"/>
    </xf>
    <xf numFmtId="0" fontId="25" fillId="0" borderId="0" xfId="0" quotePrefix="1" applyFont="1" applyBorder="1" applyAlignment="1">
      <alignment horizontal="center" vertical="center" wrapText="1"/>
    </xf>
    <xf numFmtId="0" fontId="35" fillId="0" borderId="0" xfId="0" applyFont="1"/>
    <xf numFmtId="165" fontId="27" fillId="0" borderId="2" xfId="0" applyNumberFormat="1" applyFont="1" applyBorder="1" applyAlignment="1">
      <alignment horizontal="center" wrapText="1"/>
    </xf>
    <xf numFmtId="165" fontId="27" fillId="0" borderId="0" xfId="0" applyNumberFormat="1" applyFont="1" applyBorder="1"/>
    <xf numFmtId="2" fontId="20" fillId="0" borderId="1" xfId="0" applyNumberFormat="1" applyFont="1" applyBorder="1" applyAlignment="1">
      <alignment horizontal="center" vertical="center"/>
    </xf>
    <xf numFmtId="2" fontId="20" fillId="0" borderId="0" xfId="0" applyNumberFormat="1" applyFont="1" applyAlignment="1">
      <alignment horizontal="right"/>
    </xf>
    <xf numFmtId="0" fontId="20" fillId="0" borderId="0" xfId="0" applyFont="1" applyAlignment="1">
      <alignment horizontal="center" vertical="top" wrapText="1"/>
    </xf>
    <xf numFmtId="0" fontId="20" fillId="0" borderId="0" xfId="0" applyFont="1" applyBorder="1" applyAlignment="1">
      <alignment horizontal="center"/>
    </xf>
    <xf numFmtId="0" fontId="20" fillId="0" borderId="0" xfId="0" applyFont="1" applyAlignment="1">
      <alignment horizontal="justify" vertical="top" wrapText="1"/>
    </xf>
    <xf numFmtId="0" fontId="28" fillId="0" borderId="0" xfId="0" applyFont="1" applyAlignment="1">
      <alignment horizontal="center" vertical="center" wrapText="1"/>
    </xf>
    <xf numFmtId="0" fontId="20" fillId="0" borderId="0" xfId="0" applyFont="1" applyBorder="1" applyAlignment="1">
      <alignment horizontal="center" vertical="center" wrapText="1"/>
    </xf>
    <xf numFmtId="2" fontId="28" fillId="0" borderId="0" xfId="0" applyNumberFormat="1" applyFont="1" applyAlignment="1">
      <alignment horizontal="right"/>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0" xfId="0" quotePrefix="1" applyFont="1" applyAlignment="1">
      <alignment horizontal="left"/>
    </xf>
    <xf numFmtId="0" fontId="11" fillId="0" borderId="0" xfId="0" applyFont="1" applyFill="1" applyBorder="1" applyAlignment="1">
      <alignment horizontal="center"/>
    </xf>
    <xf numFmtId="0" fontId="27" fillId="0" borderId="0" xfId="0" applyFont="1" applyAlignment="1">
      <alignment horizontal="center" vertical="center"/>
    </xf>
    <xf numFmtId="2" fontId="17" fillId="0" borderId="0" xfId="0" applyNumberFormat="1" applyFont="1" applyAlignment="1">
      <alignment horizontal="right"/>
    </xf>
    <xf numFmtId="0" fontId="17" fillId="0" borderId="0" xfId="0" applyFont="1" applyAlignment="1">
      <alignment horizontal="center"/>
    </xf>
    <xf numFmtId="0" fontId="27" fillId="0" borderId="0" xfId="0" applyFont="1" applyAlignment="1">
      <alignment horizontal="center" vertical="center" wrapText="1"/>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43" fontId="28" fillId="0" borderId="0" xfId="1" applyFont="1" applyBorder="1" applyAlignment="1">
      <alignment horizontal="center" vertical="center"/>
    </xf>
    <xf numFmtId="0" fontId="28" fillId="0" borderId="0" xfId="0" applyFont="1" applyAlignment="1">
      <alignment horizontal="center"/>
    </xf>
    <xf numFmtId="164" fontId="28" fillId="0" borderId="0" xfId="1" applyNumberFormat="1" applyFont="1" applyAlignment="1">
      <alignment horizontal="center"/>
    </xf>
    <xf numFmtId="0" fontId="26" fillId="0" borderId="0" xfId="0" applyFont="1" applyBorder="1" applyAlignment="1">
      <alignment horizontal="center"/>
    </xf>
    <xf numFmtId="164" fontId="28" fillId="0" borderId="0" xfId="1" applyNumberFormat="1" applyFont="1" applyBorder="1" applyAlignment="1">
      <alignment horizont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Alignment="1">
      <alignment horizontal="center" vertical="center"/>
    </xf>
    <xf numFmtId="0" fontId="41" fillId="0" borderId="0" xfId="0" applyFont="1" applyBorder="1" applyAlignment="1">
      <alignment horizontal="center"/>
    </xf>
    <xf numFmtId="43" fontId="28" fillId="0" borderId="0" xfId="1"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43" fontId="28" fillId="0" borderId="1" xfId="1" applyFont="1" applyBorder="1" applyAlignment="1">
      <alignment horizontal="center" vertical="center"/>
    </xf>
    <xf numFmtId="2" fontId="20" fillId="0" borderId="1" xfId="0" applyNumberFormat="1" applyFont="1" applyBorder="1" applyAlignment="1">
      <alignment horizontal="center"/>
    </xf>
    <xf numFmtId="0" fontId="20" fillId="0" borderId="0" xfId="0" applyFont="1" applyAlignment="1">
      <alignment horizontal="right" vertical="top"/>
    </xf>
    <xf numFmtId="0" fontId="20" fillId="0" borderId="1" xfId="0" applyFont="1" applyBorder="1"/>
    <xf numFmtId="0" fontId="20" fillId="0" borderId="0" xfId="0" quotePrefix="1" applyFont="1" applyAlignment="1">
      <alignment horizontal="center" vertical="top" wrapText="1"/>
    </xf>
    <xf numFmtId="0" fontId="21" fillId="0" borderId="2" xfId="0" applyFont="1" applyBorder="1"/>
    <xf numFmtId="0" fontId="20" fillId="0" borderId="0" xfId="0" quotePrefix="1" applyFont="1" applyAlignment="1">
      <alignment horizontal="left" vertical="top" wrapText="1"/>
    </xf>
    <xf numFmtId="2" fontId="20" fillId="0" borderId="0" xfId="0" applyNumberFormat="1" applyFont="1" applyAlignment="1"/>
    <xf numFmtId="0" fontId="27" fillId="0" borderId="0" xfId="0" applyFont="1" applyAlignment="1">
      <alignment horizontal="center" vertical="center" wrapText="1"/>
    </xf>
    <xf numFmtId="0" fontId="24" fillId="0" borderId="0" xfId="0" applyFont="1" applyAlignment="1">
      <alignment vertical="center" wrapText="1"/>
    </xf>
    <xf numFmtId="2" fontId="17" fillId="0" borderId="0" xfId="0" applyNumberFormat="1" applyFont="1" applyAlignment="1">
      <alignment horizontal="center" vertical="center"/>
    </xf>
    <xf numFmtId="0" fontId="42" fillId="0" borderId="0" xfId="0" applyFont="1" applyBorder="1"/>
    <xf numFmtId="0" fontId="42" fillId="0" borderId="1" xfId="0" applyFont="1" applyBorder="1"/>
    <xf numFmtId="0" fontId="43" fillId="0" borderId="0" xfId="0" applyFont="1" applyBorder="1"/>
    <xf numFmtId="0" fontId="43" fillId="0" borderId="0" xfId="0" applyFont="1"/>
    <xf numFmtId="0" fontId="42" fillId="0" borderId="0" xfId="0" applyFont="1"/>
    <xf numFmtId="0" fontId="42" fillId="0" borderId="0" xfId="0" quotePrefix="1" applyFont="1" applyAlignment="1">
      <alignment horizontal="right"/>
    </xf>
    <xf numFmtId="0" fontId="0" fillId="0" borderId="0" xfId="0"/>
    <xf numFmtId="0" fontId="0" fillId="0" borderId="0" xfId="0" applyAlignment="1">
      <alignment horizontal="right"/>
    </xf>
    <xf numFmtId="0" fontId="42" fillId="0" borderId="1" xfId="0" applyFont="1" applyBorder="1" applyAlignment="1">
      <alignment horizontal="center"/>
    </xf>
    <xf numFmtId="0" fontId="2" fillId="0" borderId="1" xfId="0" applyFont="1" applyBorder="1" applyAlignment="1">
      <alignment horizontal="center"/>
    </xf>
    <xf numFmtId="2" fontId="42" fillId="0" borderId="0" xfId="0" applyNumberFormat="1" applyFont="1" applyAlignment="1">
      <alignment horizontal="center"/>
    </xf>
    <xf numFmtId="0" fontId="42" fillId="0" borderId="0" xfId="0" applyFont="1" applyAlignment="1">
      <alignment horizontal="center"/>
    </xf>
    <xf numFmtId="2" fontId="46" fillId="0" borderId="0" xfId="0" applyNumberFormat="1" applyFont="1" applyAlignment="1">
      <alignment horizontal="center"/>
    </xf>
    <xf numFmtId="0" fontId="42" fillId="0" borderId="0" xfId="0" applyFont="1" applyBorder="1" applyAlignment="1">
      <alignment horizontal="center"/>
    </xf>
    <xf numFmtId="2" fontId="42" fillId="0" borderId="0" xfId="0" applyNumberFormat="1" applyFont="1" applyBorder="1" applyAlignment="1">
      <alignment horizontal="center"/>
    </xf>
    <xf numFmtId="0" fontId="43" fillId="0" borderId="0" xfId="0" applyFont="1" applyBorder="1" applyAlignment="1">
      <alignment horizontal="center"/>
    </xf>
    <xf numFmtId="0" fontId="2" fillId="0" borderId="1" xfId="0" applyFont="1" applyBorder="1" applyAlignment="1">
      <alignment horizontal="right"/>
    </xf>
    <xf numFmtId="0" fontId="42" fillId="0" borderId="1" xfId="0" quotePrefix="1" applyFont="1" applyBorder="1" applyAlignment="1">
      <alignment horizontal="right"/>
    </xf>
    <xf numFmtId="0" fontId="42" fillId="0" borderId="0" xfId="0" quotePrefix="1" applyFont="1" applyBorder="1" applyAlignment="1">
      <alignment horizontal="right"/>
    </xf>
    <xf numFmtId="0" fontId="43" fillId="0" borderId="0" xfId="0" quotePrefix="1" applyFont="1" applyAlignment="1">
      <alignment horizontal="right"/>
    </xf>
    <xf numFmtId="0" fontId="0" fillId="0" borderId="0" xfId="0"/>
    <xf numFmtId="0" fontId="27" fillId="0" borderId="0" xfId="0" applyFont="1" applyAlignment="1">
      <alignment horizontal="center" vertical="center"/>
    </xf>
    <xf numFmtId="0" fontId="46" fillId="0" borderId="0" xfId="0" applyFont="1" applyAlignment="1">
      <alignment horizontal="center"/>
    </xf>
    <xf numFmtId="0" fontId="42" fillId="0" borderId="0" xfId="0" applyFont="1" applyBorder="1" applyAlignment="1">
      <alignment horizontal="right"/>
    </xf>
    <xf numFmtId="43" fontId="42" fillId="0" borderId="0" xfId="1" applyFont="1" applyAlignment="1">
      <alignment horizontal="center"/>
    </xf>
    <xf numFmtId="43" fontId="43" fillId="0" borderId="0" xfId="1" applyFont="1" applyAlignment="1">
      <alignment horizontal="center"/>
    </xf>
    <xf numFmtId="43" fontId="42" fillId="0" borderId="1" xfId="1" applyFont="1" applyBorder="1" applyAlignment="1">
      <alignment horizontal="center"/>
    </xf>
    <xf numFmtId="2" fontId="46" fillId="0" borderId="0" xfId="0" applyNumberFormat="1" applyFont="1" applyBorder="1" applyAlignment="1">
      <alignment horizontal="center"/>
    </xf>
    <xf numFmtId="0" fontId="43" fillId="0" borderId="0" xfId="0" quotePrefix="1" applyFont="1" applyBorder="1" applyAlignment="1">
      <alignment horizontal="right"/>
    </xf>
    <xf numFmtId="2" fontId="43" fillId="0" borderId="0" xfId="0" applyNumberFormat="1" applyFont="1" applyBorder="1" applyAlignment="1">
      <alignment horizontal="center"/>
    </xf>
    <xf numFmtId="0" fontId="45" fillId="0" borderId="0" xfId="0" applyFont="1" applyAlignment="1">
      <alignment horizontal="left"/>
    </xf>
    <xf numFmtId="0" fontId="6" fillId="0" borderId="0" xfId="0" applyFont="1" applyBorder="1" applyAlignment="1">
      <alignment horizontal="right"/>
    </xf>
    <xf numFmtId="2" fontId="0" fillId="0" borderId="0" xfId="0" applyNumberFormat="1"/>
    <xf numFmtId="2" fontId="0" fillId="0" borderId="0" xfId="0" quotePrefix="1" applyNumberFormat="1" applyAlignment="1">
      <alignment horizontal="right"/>
    </xf>
    <xf numFmtId="0" fontId="0" fillId="0" borderId="0" xfId="0" applyBorder="1" applyAlignment="1">
      <alignment horizontal="right" vertical="top" wrapText="1"/>
    </xf>
    <xf numFmtId="2" fontId="0" fillId="0" borderId="0" xfId="0" applyNumberFormat="1" applyAlignment="1">
      <alignment horizontal="center"/>
    </xf>
    <xf numFmtId="0" fontId="6" fillId="0" borderId="0" xfId="0" applyFont="1"/>
    <xf numFmtId="0" fontId="0" fillId="0" borderId="0" xfId="0"/>
    <xf numFmtId="2" fontId="0" fillId="0" borderId="0" xfId="0" applyNumberFormat="1" applyAlignment="1">
      <alignment horizontal="right"/>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Border="1" applyAlignment="1">
      <alignment horizontal="right"/>
    </xf>
    <xf numFmtId="0" fontId="2" fillId="0" borderId="0" xfId="0" applyFont="1" applyAlignment="1">
      <alignment horizontal="right"/>
    </xf>
    <xf numFmtId="2" fontId="0" fillId="0" borderId="0" xfId="0" applyNumberFormat="1" applyAlignment="1">
      <alignment horizontal="right" vertical="center"/>
    </xf>
    <xf numFmtId="0" fontId="0" fillId="0" borderId="0" xfId="0" applyBorder="1" applyAlignment="1">
      <alignment horizontal="center" vertical="top"/>
    </xf>
    <xf numFmtId="0" fontId="0" fillId="0" borderId="0" xfId="0" applyAlignment="1">
      <alignment wrapText="1"/>
    </xf>
    <xf numFmtId="0" fontId="3" fillId="0" borderId="0" xfId="0" applyFont="1" applyAlignment="1">
      <alignment horizontal="left" vertical="center"/>
    </xf>
    <xf numFmtId="0" fontId="6" fillId="0" borderId="0" xfId="0" quotePrefix="1" applyFont="1" applyAlignment="1">
      <alignment horizontal="center" vertical="center"/>
    </xf>
    <xf numFmtId="0" fontId="6" fillId="0" borderId="0" xfId="0" applyFont="1" applyAlignment="1">
      <alignment horizontal="center" vertical="center"/>
    </xf>
    <xf numFmtId="166" fontId="0" fillId="0" borderId="0" xfId="0" applyNumberFormat="1" applyAlignment="1">
      <alignment horizontal="center" vertical="center"/>
    </xf>
    <xf numFmtId="0" fontId="0" fillId="0" borderId="0" xfId="0" quotePrefix="1" applyAlignment="1">
      <alignment horizontal="center" vertical="center"/>
    </xf>
    <xf numFmtId="0" fontId="0" fillId="0" borderId="0" xfId="0" quotePrefix="1" applyAlignment="1">
      <alignment horizontal="right"/>
    </xf>
    <xf numFmtId="2" fontId="0" fillId="0" borderId="1" xfId="0" applyNumberFormat="1" applyBorder="1" applyAlignment="1">
      <alignment horizontal="right"/>
    </xf>
    <xf numFmtId="0" fontId="0" fillId="0" borderId="0" xfId="0" quotePrefix="1" applyAlignment="1">
      <alignment horizontal="left"/>
    </xf>
    <xf numFmtId="0" fontId="0" fillId="0" borderId="0" xfId="0" applyAlignment="1">
      <alignment horizontal="left"/>
    </xf>
    <xf numFmtId="0" fontId="0" fillId="0" borderId="0" xfId="0" applyAlignment="1">
      <alignment vertical="top" wrapText="1"/>
    </xf>
    <xf numFmtId="0" fontId="1" fillId="0" borderId="0" xfId="0" applyFont="1" applyBorder="1" applyAlignment="1">
      <alignment horizontal="left"/>
    </xf>
    <xf numFmtId="0" fontId="0" fillId="0" borderId="0" xfId="0"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2" fillId="0" borderId="0" xfId="0" applyNumberFormat="1" applyFont="1" applyAlignment="1">
      <alignment horizontal="right"/>
    </xf>
    <xf numFmtId="0" fontId="8" fillId="0" borderId="0" xfId="0" applyFont="1" applyAlignment="1">
      <alignment horizontal="center" vertical="top"/>
    </xf>
    <xf numFmtId="0" fontId="0" fillId="0" borderId="0" xfId="0" applyAlignment="1">
      <alignment horizontal="left" vertical="center"/>
    </xf>
    <xf numFmtId="2" fontId="6" fillId="0" borderId="0" xfId="0" applyNumberFormat="1" applyFont="1" applyAlignment="1">
      <alignment horizontal="center" vertical="center"/>
    </xf>
    <xf numFmtId="2" fontId="1" fillId="0" borderId="2" xfId="0" applyNumberFormat="1" applyFont="1" applyBorder="1" applyAlignment="1">
      <alignment horizontal="right"/>
    </xf>
    <xf numFmtId="0" fontId="1" fillId="0" borderId="2" xfId="0" applyFont="1" applyBorder="1" applyAlignment="1">
      <alignment horizontal="right"/>
    </xf>
    <xf numFmtId="0" fontId="10" fillId="0" borderId="0" xfId="0" applyFont="1" applyAlignment="1">
      <alignment horizontal="right"/>
    </xf>
    <xf numFmtId="0" fontId="2" fillId="0" borderId="0" xfId="0" applyFont="1" applyBorder="1" applyAlignment="1">
      <alignment horizontal="center"/>
    </xf>
    <xf numFmtId="0" fontId="0" fillId="0" borderId="0" xfId="0" applyAlignment="1">
      <alignment horizontal="center"/>
    </xf>
    <xf numFmtId="2" fontId="0" fillId="0" borderId="0" xfId="0" applyNumberFormat="1" applyBorder="1" applyAlignment="1">
      <alignment horizontal="right"/>
    </xf>
    <xf numFmtId="2" fontId="0" fillId="0" borderId="0" xfId="0" applyNumberFormat="1" applyBorder="1"/>
    <xf numFmtId="0" fontId="0" fillId="0" borderId="0" xfId="0" applyBorder="1" applyAlignment="1">
      <alignment horizontal="left" vertical="top" wrapText="1"/>
    </xf>
    <xf numFmtId="0" fontId="6" fillId="0" borderId="0" xfId="0" applyFont="1" applyAlignment="1">
      <alignment horizontal="right"/>
    </xf>
    <xf numFmtId="0" fontId="0" fillId="0" borderId="0" xfId="0" applyAlignment="1">
      <alignment horizontal="left" vertical="top" wrapText="1"/>
    </xf>
    <xf numFmtId="2" fontId="0" fillId="0" borderId="0" xfId="0" applyNumberFormat="1" applyAlignment="1"/>
    <xf numFmtId="2" fontId="1" fillId="0" borderId="0" xfId="0" quotePrefix="1" applyNumberFormat="1" applyFont="1" applyBorder="1" applyAlignment="1">
      <alignment horizontal="right"/>
    </xf>
    <xf numFmtId="0" fontId="1" fillId="0" borderId="0" xfId="0" quotePrefix="1" applyFont="1" applyBorder="1" applyAlignment="1">
      <alignment horizontal="right"/>
    </xf>
    <xf numFmtId="2" fontId="1" fillId="0" borderId="1" xfId="0" applyNumberFormat="1" applyFont="1" applyBorder="1" applyAlignment="1">
      <alignment horizontal="right"/>
    </xf>
    <xf numFmtId="0" fontId="1" fillId="0" borderId="1" xfId="0" applyFont="1" applyBorder="1" applyAlignment="1">
      <alignment horizontal="left"/>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Alignment="1">
      <alignment horizontal="justify" vertical="top"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0" fillId="0" borderId="1" xfId="0" applyBorder="1" applyAlignment="1">
      <alignment vertical="center"/>
    </xf>
    <xf numFmtId="0" fontId="3" fillId="0" borderId="0" xfId="0" applyFont="1" applyAlignment="1">
      <alignment wrapText="1"/>
    </xf>
    <xf numFmtId="0" fontId="0" fillId="0" borderId="0" xfId="0" applyBorder="1" applyAlignment="1">
      <alignment vertical="center"/>
    </xf>
    <xf numFmtId="0" fontId="3" fillId="0" borderId="0" xfId="0" quotePrefix="1" applyFont="1" applyAlignment="1">
      <alignment horizontal="left" vertical="center"/>
    </xf>
    <xf numFmtId="0" fontId="2" fillId="0" borderId="2" xfId="0" applyFont="1" applyBorder="1" applyAlignment="1">
      <alignment horizontal="right"/>
    </xf>
    <xf numFmtId="0" fontId="8" fillId="0" borderId="0" xfId="0" applyFont="1" applyAlignment="1">
      <alignment horizontal="center" vertical="top" wrapText="1"/>
    </xf>
    <xf numFmtId="0" fontId="8" fillId="0" borderId="0" xfId="0" applyFont="1" applyAlignment="1">
      <alignment horizontal="center" vertical="center"/>
    </xf>
    <xf numFmtId="2" fontId="0" fillId="0" borderId="0" xfId="0" applyNumberFormat="1" applyAlignment="1">
      <alignment vertical="center"/>
    </xf>
    <xf numFmtId="0" fontId="0" fillId="0" borderId="1" xfId="0" quotePrefix="1" applyBorder="1"/>
    <xf numFmtId="0" fontId="0" fillId="0" borderId="0" xfId="0" quotePrefix="1"/>
    <xf numFmtId="0" fontId="0" fillId="0" borderId="1" xfId="0" quotePrefix="1" applyBorder="1" applyAlignment="1">
      <alignment horizontal="right"/>
    </xf>
    <xf numFmtId="0" fontId="0" fillId="0" borderId="0" xfId="0" quotePrefix="1" applyBorder="1"/>
    <xf numFmtId="0" fontId="0" fillId="0" borderId="0" xfId="0" quotePrefix="1" applyBorder="1" applyAlignment="1">
      <alignment horizontal="right"/>
    </xf>
    <xf numFmtId="0" fontId="2" fillId="0" borderId="0" xfId="0" applyFont="1" applyAlignment="1">
      <alignment horizontal="center"/>
    </xf>
    <xf numFmtId="0" fontId="0" fillId="0" borderId="0" xfId="0" quotePrefix="1" applyAlignment="1">
      <alignment horizontal="center"/>
    </xf>
    <xf numFmtId="2" fontId="6" fillId="0" borderId="0" xfId="0" quotePrefix="1" applyNumberFormat="1" applyFont="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xf numFmtId="2" fontId="0" fillId="0" borderId="1" xfId="0" applyNumberFormat="1" applyBorder="1" applyAlignment="1">
      <alignment horizontal="right" vertical="top" wrapText="1"/>
    </xf>
    <xf numFmtId="166" fontId="0" fillId="0" borderId="0" xfId="0" applyNumberFormat="1" applyBorder="1" applyAlignment="1">
      <alignment horizontal="center"/>
    </xf>
    <xf numFmtId="0" fontId="0" fillId="0" borderId="0" xfId="0" applyBorder="1" applyAlignment="1">
      <alignment horizontal="right"/>
    </xf>
    <xf numFmtId="2" fontId="0" fillId="0" borderId="0" xfId="0" applyNumberFormat="1" applyAlignment="1">
      <alignment horizontal="right" vertical="top" wrapText="1"/>
    </xf>
    <xf numFmtId="0" fontId="0" fillId="0" borderId="0" xfId="0" applyAlignment="1">
      <alignment vertical="top"/>
    </xf>
    <xf numFmtId="2" fontId="0" fillId="0" borderId="0" xfId="0" quotePrefix="1" applyNumberFormat="1" applyAlignment="1">
      <alignment vertical="top" wrapText="1"/>
    </xf>
    <xf numFmtId="0" fontId="0" fillId="0" borderId="0" xfId="0" quotePrefix="1" applyAlignment="1">
      <alignment horizontal="left" vertical="top" wrapText="1"/>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2" fontId="0" fillId="0" borderId="0" xfId="0" applyNumberFormat="1" applyAlignment="1">
      <alignment horizontal="center" vertical="top" wrapText="1"/>
    </xf>
    <xf numFmtId="2" fontId="0" fillId="0" borderId="0" xfId="0" applyNumberFormat="1" applyAlignment="1">
      <alignment horizontal="left"/>
    </xf>
    <xf numFmtId="0" fontId="2" fillId="0" borderId="0" xfId="0" applyFont="1" applyAlignment="1">
      <alignment horizontal="center" vertical="center" wrapText="1"/>
    </xf>
    <xf numFmtId="0" fontId="6"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0" fontId="8" fillId="0" borderId="0" xfId="0" applyFont="1" applyAlignment="1">
      <alignment horizontal="center"/>
    </xf>
    <xf numFmtId="2" fontId="0" fillId="0" borderId="2" xfId="0" applyNumberFormat="1" applyBorder="1" applyAlignment="1">
      <alignment horizontal="right"/>
    </xf>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2" fontId="0" fillId="0" borderId="0" xfId="0" quotePrefix="1" applyNumberFormat="1" applyFill="1" applyBorder="1"/>
    <xf numFmtId="0" fontId="0" fillId="0" borderId="0" xfId="0" quotePrefix="1" applyFill="1" applyBorder="1"/>
    <xf numFmtId="2" fontId="20" fillId="0" borderId="0" xfId="0" applyNumberFormat="1" applyFont="1" applyAlignment="1">
      <alignment horizontal="right"/>
    </xf>
    <xf numFmtId="0" fontId="27" fillId="0" borderId="0" xfId="0" applyFont="1" applyBorder="1" applyAlignment="1">
      <alignment horizontal="right" vertical="top" wrapText="1"/>
    </xf>
    <xf numFmtId="0" fontId="13" fillId="0" borderId="0" xfId="0" applyFont="1" applyBorder="1" applyAlignment="1">
      <alignment horizontal="center" wrapText="1"/>
    </xf>
    <xf numFmtId="0" fontId="24" fillId="0" borderId="0" xfId="0" applyFont="1" applyAlignment="1">
      <alignment horizontal="center" wrapText="1"/>
    </xf>
    <xf numFmtId="0" fontId="20" fillId="0" borderId="0" xfId="0" applyFont="1" applyAlignment="1">
      <alignment horizontal="center" vertical="top" wrapText="1"/>
    </xf>
    <xf numFmtId="0" fontId="21" fillId="0" borderId="0" xfId="0" applyFont="1" applyAlignment="1">
      <alignment horizontal="center" vertical="center" wrapText="1"/>
    </xf>
    <xf numFmtId="0" fontId="20" fillId="0" borderId="0" xfId="0" applyFont="1" applyAlignment="1">
      <alignment horizontal="center" wrapText="1"/>
    </xf>
    <xf numFmtId="0" fontId="20" fillId="0" borderId="0" xfId="0" applyFont="1" applyBorder="1" applyAlignment="1">
      <alignment horizontal="center"/>
    </xf>
    <xf numFmtId="0" fontId="13" fillId="0" borderId="0" xfId="0" applyFont="1" applyAlignment="1">
      <alignment horizontal="center" vertical="center" wrapText="1"/>
    </xf>
    <xf numFmtId="0" fontId="21"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28" fillId="0" borderId="0" xfId="0" applyFont="1" applyAlignment="1">
      <alignment horizontal="center" vertical="center" wrapText="1"/>
    </xf>
    <xf numFmtId="0" fontId="21" fillId="0" borderId="0" xfId="0" applyFont="1" applyAlignment="1">
      <alignment horizont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wrapText="1"/>
    </xf>
    <xf numFmtId="2" fontId="28" fillId="0" borderId="0" xfId="0" applyNumberFormat="1" applyFont="1" applyAlignment="1">
      <alignment horizontal="right"/>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2" xfId="0" applyFont="1" applyBorder="1" applyAlignment="1">
      <alignment horizontal="center"/>
    </xf>
    <xf numFmtId="0" fontId="28" fillId="0" borderId="0" xfId="0" applyFont="1" applyBorder="1" applyAlignment="1">
      <alignment horizontal="center" wrapText="1"/>
    </xf>
    <xf numFmtId="0" fontId="26" fillId="0" borderId="0" xfId="0" applyFont="1" applyFill="1" applyBorder="1" applyAlignment="1">
      <alignment horizontal="center" vertical="center"/>
    </xf>
    <xf numFmtId="0" fontId="20" fillId="0" borderId="0" xfId="0" quotePrefix="1" applyFont="1" applyAlignment="1">
      <alignment horizontal="left"/>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1" fillId="0" borderId="0" xfId="0"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Alignment="1">
      <alignment horizontal="center" wrapText="1"/>
    </xf>
    <xf numFmtId="0" fontId="11" fillId="0" borderId="0" xfId="0" applyFont="1" applyFill="1" applyBorder="1" applyAlignment="1">
      <alignment horizontal="center"/>
    </xf>
    <xf numFmtId="0" fontId="30"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18" fillId="0" borderId="0" xfId="0" applyFont="1" applyFill="1" applyBorder="1" applyAlignment="1">
      <alignment horizontal="left" vertical="center"/>
    </xf>
    <xf numFmtId="0" fontId="27"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vertical="top" wrapText="1"/>
    </xf>
    <xf numFmtId="2" fontId="17" fillId="0" borderId="0" xfId="0" applyNumberFormat="1" applyFont="1" applyBorder="1" applyAlignment="1">
      <alignment horizontal="right" vertical="center"/>
    </xf>
    <xf numFmtId="0" fontId="17" fillId="0" borderId="0" xfId="0" applyFont="1" applyBorder="1" applyAlignment="1">
      <alignment horizontal="left" vertical="center"/>
    </xf>
    <xf numFmtId="0" fontId="28"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vertical="top" wrapText="1"/>
    </xf>
    <xf numFmtId="0" fontId="20" fillId="0" borderId="0" xfId="0" applyFont="1" applyBorder="1" applyAlignment="1">
      <alignment horizontal="left" vertical="top" wrapText="1"/>
    </xf>
    <xf numFmtId="0" fontId="13" fillId="0" borderId="0" xfId="0" applyFont="1" applyBorder="1" applyAlignment="1">
      <alignment horizont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2"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right" vertical="center"/>
    </xf>
    <xf numFmtId="0" fontId="42" fillId="0" borderId="0" xfId="0" applyFont="1" applyBorder="1" applyAlignment="1">
      <alignment horizontal="center"/>
    </xf>
    <xf numFmtId="0" fontId="43" fillId="0" borderId="0" xfId="0" applyFont="1" applyBorder="1" applyAlignment="1">
      <alignment horizontal="center"/>
    </xf>
    <xf numFmtId="0" fontId="46" fillId="0" borderId="0" xfId="0" applyFont="1" applyBorder="1" applyAlignment="1">
      <alignment horizontal="center"/>
    </xf>
    <xf numFmtId="0" fontId="45" fillId="0" borderId="0" xfId="0" applyFont="1" applyAlignment="1">
      <alignment horizontal="left"/>
    </xf>
    <xf numFmtId="0" fontId="24" fillId="0" borderId="0" xfId="0" applyFont="1" applyAlignment="1">
      <alignment horizontal="center" vertical="center" wrapText="1"/>
    </xf>
    <xf numFmtId="0" fontId="24" fillId="0" borderId="0" xfId="0" applyFont="1" applyAlignment="1">
      <alignment horizontal="left" vertical="center" wrapText="1"/>
    </xf>
    <xf numFmtId="0" fontId="44" fillId="0" borderId="0" xfId="0" applyFont="1" applyAlignment="1">
      <alignment horizontal="center"/>
    </xf>
    <xf numFmtId="0" fontId="7" fillId="0" borderId="0" xfId="0" applyFont="1" applyAlignment="1">
      <alignment horizontal="center" wrapText="1"/>
    </xf>
    <xf numFmtId="0" fontId="45" fillId="0" borderId="0" xfId="0" applyFont="1" applyAlignment="1">
      <alignment horizontal="center" wrapText="1"/>
    </xf>
    <xf numFmtId="0" fontId="7" fillId="0" borderId="0" xfId="0" applyFont="1" applyAlignment="1">
      <alignment horizontal="center"/>
    </xf>
    <xf numFmtId="0" fontId="45" fillId="0" borderId="0" xfId="0" applyFont="1" applyAlignment="1">
      <alignment horizontal="center"/>
    </xf>
    <xf numFmtId="0" fontId="42" fillId="0" borderId="0" xfId="0" applyFont="1" applyAlignment="1">
      <alignment horizontal="center"/>
    </xf>
    <xf numFmtId="0" fontId="2" fillId="0" borderId="1" xfId="0" applyFont="1" applyBorder="1" applyAlignment="1">
      <alignment horizontal="center"/>
    </xf>
    <xf numFmtId="0" fontId="42" fillId="0" borderId="2" xfId="0" applyFont="1" applyBorder="1" applyAlignment="1">
      <alignment horizontal="left"/>
    </xf>
    <xf numFmtId="0" fontId="42" fillId="0" borderId="0" xfId="0" applyFont="1" applyBorder="1" applyAlignment="1">
      <alignment horizontal="left"/>
    </xf>
    <xf numFmtId="0" fontId="42" fillId="0" borderId="1" xfId="0" applyFont="1" applyBorder="1" applyAlignment="1">
      <alignment horizontal="left"/>
    </xf>
    <xf numFmtId="0" fontId="43" fillId="0" borderId="0" xfId="0" applyFont="1" applyAlignment="1">
      <alignment horizontal="center" wrapText="1"/>
    </xf>
    <xf numFmtId="0" fontId="46" fillId="0" borderId="1" xfId="0" applyFont="1" applyBorder="1" applyAlignment="1">
      <alignment horizontal="center"/>
    </xf>
    <xf numFmtId="0" fontId="42" fillId="0" borderId="1"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605" t="s">
        <v>330</v>
      </c>
      <c r="B3" s="605"/>
      <c r="C3" s="605"/>
      <c r="D3" s="605"/>
      <c r="E3" s="605"/>
      <c r="F3" s="605"/>
      <c r="G3" s="605"/>
      <c r="H3" s="605"/>
      <c r="I3" s="605"/>
      <c r="J3" s="605"/>
      <c r="K3" s="605"/>
      <c r="L3" s="605"/>
      <c r="M3" s="605"/>
      <c r="N3" s="605"/>
      <c r="O3" s="605"/>
      <c r="P3" s="605"/>
      <c r="Q3" s="605"/>
      <c r="R3" s="605"/>
      <c r="S3" s="605"/>
      <c r="T3" s="605"/>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605" t="s">
        <v>266</v>
      </c>
      <c r="C5" s="605"/>
      <c r="D5" s="605"/>
      <c r="E5" s="605"/>
      <c r="F5" s="605"/>
      <c r="G5" s="605"/>
      <c r="H5" s="605"/>
      <c r="I5" s="605"/>
      <c r="J5" s="605"/>
      <c r="K5" s="605"/>
      <c r="L5" s="605"/>
      <c r="M5" s="605"/>
      <c r="N5" s="605"/>
      <c r="O5" s="605"/>
      <c r="P5" s="605"/>
      <c r="Q5" s="605"/>
      <c r="R5" s="605"/>
      <c r="S5" s="605"/>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642" t="s">
        <v>267</v>
      </c>
      <c r="C7" s="642"/>
      <c r="D7" s="642"/>
      <c r="E7" s="642"/>
      <c r="F7" s="642"/>
      <c r="G7" s="642"/>
      <c r="H7" s="642"/>
      <c r="I7" s="642"/>
      <c r="J7" s="642"/>
      <c r="K7" s="642"/>
      <c r="L7" s="642"/>
      <c r="M7" s="642"/>
      <c r="N7" s="642"/>
      <c r="O7" s="642"/>
      <c r="P7" s="642"/>
      <c r="Q7" s="642"/>
      <c r="R7" s="642"/>
      <c r="S7" s="642"/>
    </row>
    <row r="9" spans="1:20" ht="55.5" customHeight="1">
      <c r="A9" s="95" t="s">
        <v>278</v>
      </c>
      <c r="B9" s="627" t="s">
        <v>279</v>
      </c>
      <c r="C9" s="627"/>
      <c r="D9" s="627"/>
      <c r="E9" s="627"/>
      <c r="F9" s="627"/>
      <c r="G9" s="627"/>
      <c r="H9" s="627"/>
      <c r="I9" s="627"/>
      <c r="J9" s="627"/>
      <c r="K9" s="627"/>
      <c r="L9" s="627"/>
      <c r="M9" s="627"/>
      <c r="N9" s="627"/>
      <c r="O9" s="627"/>
      <c r="P9" s="627"/>
      <c r="Q9" s="627"/>
    </row>
    <row r="10" spans="1:20" ht="12.75" customHeight="1">
      <c r="A10" s="52"/>
      <c r="B10" s="599" t="s">
        <v>47</v>
      </c>
      <c r="C10" s="599"/>
      <c r="D10" s="599"/>
      <c r="E10" s="599"/>
      <c r="F10" s="599"/>
      <c r="G10" s="599"/>
      <c r="H10" s="599"/>
      <c r="I10" s="599"/>
      <c r="J10" s="599"/>
      <c r="K10" s="599"/>
      <c r="L10" s="599"/>
      <c r="M10" s="599"/>
      <c r="N10" s="599"/>
      <c r="O10" s="599"/>
      <c r="P10" s="599"/>
      <c r="Q10" s="599"/>
    </row>
    <row r="11" spans="1:20" ht="12.75" customHeight="1">
      <c r="A11" s="42"/>
      <c r="B11" s="599" t="s">
        <v>31</v>
      </c>
      <c r="C11" s="599"/>
      <c r="D11" s="599"/>
      <c r="E11" s="599"/>
      <c r="F11" s="599"/>
      <c r="G11" s="599"/>
      <c r="H11" s="599"/>
      <c r="I11" s="599"/>
      <c r="J11" s="599"/>
      <c r="K11" s="599"/>
      <c r="L11" s="599"/>
      <c r="M11" s="599"/>
      <c r="N11" s="599"/>
      <c r="O11" s="599"/>
      <c r="P11" s="599"/>
      <c r="Q11" s="599"/>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640" t="s">
        <v>2</v>
      </c>
      <c r="C14" s="594" t="s">
        <v>0</v>
      </c>
      <c r="D14" s="583">
        <v>1</v>
      </c>
      <c r="E14" s="583" t="s">
        <v>1</v>
      </c>
      <c r="F14" s="584">
        <v>5.8</v>
      </c>
      <c r="G14" s="583" t="s">
        <v>1</v>
      </c>
      <c r="H14" s="584">
        <v>1.9</v>
      </c>
      <c r="I14" s="583" t="s">
        <v>1</v>
      </c>
      <c r="J14" s="31">
        <v>2.7</v>
      </c>
      <c r="K14" s="32" t="s">
        <v>14</v>
      </c>
      <c r="L14" s="31">
        <v>3.9</v>
      </c>
      <c r="M14" s="20"/>
      <c r="N14" s="7"/>
      <c r="O14" s="594" t="s">
        <v>0</v>
      </c>
      <c r="P14" s="644">
        <f>((D14*F14*H14*(J14+L14)/2))</f>
        <v>36.366</v>
      </c>
      <c r="Q14" s="606" t="s">
        <v>275</v>
      </c>
    </row>
    <row r="15" spans="1:20">
      <c r="B15" s="640"/>
      <c r="C15" s="594"/>
      <c r="D15" s="583"/>
      <c r="E15" s="583"/>
      <c r="F15" s="584"/>
      <c r="G15" s="583"/>
      <c r="H15" s="584"/>
      <c r="I15" s="583"/>
      <c r="J15" s="7"/>
      <c r="K15" s="29">
        <v>2</v>
      </c>
      <c r="L15" s="20"/>
      <c r="M15" s="20"/>
      <c r="N15" s="7"/>
      <c r="O15" s="594"/>
      <c r="P15" s="644"/>
      <c r="Q15" s="606"/>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582">
        <v>56</v>
      </c>
      <c r="L20" s="582"/>
      <c r="M20" s="582"/>
      <c r="N20" s="597" t="s">
        <v>273</v>
      </c>
      <c r="O20" s="598"/>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599" t="s">
        <v>33</v>
      </c>
      <c r="C24" s="599"/>
      <c r="D24" s="599"/>
      <c r="E24" s="599"/>
      <c r="F24" s="599"/>
      <c r="G24" s="599"/>
      <c r="H24" s="599"/>
      <c r="I24" s="599"/>
      <c r="J24" s="599"/>
      <c r="K24" s="599"/>
      <c r="L24" s="599"/>
      <c r="M24" s="599"/>
      <c r="N24" s="599"/>
      <c r="O24" s="599"/>
      <c r="P24" s="599"/>
      <c r="Q24" s="599"/>
    </row>
    <row r="25" spans="1:21">
      <c r="B25" s="5"/>
      <c r="C25" s="29"/>
      <c r="D25" s="20"/>
      <c r="E25" s="20"/>
      <c r="F25" s="7"/>
      <c r="G25" s="20"/>
      <c r="H25" s="7"/>
      <c r="I25" s="20"/>
      <c r="J25" s="7"/>
      <c r="K25" s="20"/>
      <c r="L25" s="20"/>
      <c r="M25" s="20"/>
      <c r="N25" s="20"/>
      <c r="O25" s="29"/>
      <c r="P25" s="2"/>
    </row>
    <row r="26" spans="1:21" ht="14.25" customHeight="1">
      <c r="B26" s="590" t="s">
        <v>5</v>
      </c>
      <c r="C26" s="591" t="s">
        <v>0</v>
      </c>
      <c r="D26" s="592">
        <v>1</v>
      </c>
      <c r="E26" s="592" t="s">
        <v>1</v>
      </c>
      <c r="F26" s="147">
        <v>7.86</v>
      </c>
      <c r="G26" s="148" t="s">
        <v>14</v>
      </c>
      <c r="H26" s="147">
        <v>7.74</v>
      </c>
      <c r="I26" s="592" t="s">
        <v>1</v>
      </c>
      <c r="J26" s="607">
        <v>1.8</v>
      </c>
      <c r="K26" s="592" t="s">
        <v>1</v>
      </c>
      <c r="L26" s="607">
        <v>0.25</v>
      </c>
      <c r="M26" s="33"/>
      <c r="N26" s="34"/>
      <c r="O26" s="628" t="s">
        <v>0</v>
      </c>
      <c r="P26" s="630">
        <f>ROUND((L26*J26*D26)*(F26+H26)/2,2)</f>
        <v>3.51</v>
      </c>
      <c r="Q26" s="606" t="s">
        <v>275</v>
      </c>
    </row>
    <row r="27" spans="1:21">
      <c r="B27" s="590"/>
      <c r="C27" s="591"/>
      <c r="D27" s="592"/>
      <c r="E27" s="592"/>
      <c r="F27" s="151"/>
      <c r="G27" s="151">
        <v>2</v>
      </c>
      <c r="H27" s="151"/>
      <c r="I27" s="592"/>
      <c r="J27" s="607"/>
      <c r="K27" s="592"/>
      <c r="L27" s="607"/>
      <c r="O27" s="628"/>
      <c r="P27" s="630"/>
      <c r="Q27" s="606"/>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582">
        <v>705</v>
      </c>
      <c r="L31" s="582"/>
      <c r="M31" s="582"/>
      <c r="N31" s="597" t="s">
        <v>273</v>
      </c>
      <c r="O31" s="598"/>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627" t="s">
        <v>284</v>
      </c>
      <c r="C35" s="627"/>
      <c r="D35" s="627"/>
      <c r="E35" s="627"/>
      <c r="F35" s="627"/>
      <c r="G35" s="627"/>
      <c r="H35" s="627"/>
      <c r="I35" s="627"/>
      <c r="J35" s="627"/>
      <c r="K35" s="627"/>
      <c r="L35" s="627"/>
      <c r="M35" s="627"/>
      <c r="N35" s="627"/>
      <c r="O35" s="627"/>
      <c r="P35" s="627"/>
      <c r="Q35" s="627"/>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582" t="s">
        <v>332</v>
      </c>
      <c r="H40" s="581"/>
      <c r="I40" s="582">
        <v>3133</v>
      </c>
      <c r="J40" s="582"/>
      <c r="K40" s="582"/>
      <c r="L40" s="597" t="s">
        <v>273</v>
      </c>
      <c r="M40" s="598"/>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604" t="s">
        <v>24</v>
      </c>
      <c r="Q43" s="604"/>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604" t="s">
        <v>25</v>
      </c>
      <c r="Q50" s="604"/>
      <c r="R50" s="50" t="s">
        <v>0</v>
      </c>
      <c r="S50" s="49" t="s">
        <v>11</v>
      </c>
      <c r="T50" s="140">
        <f>T43*1</f>
        <v>16832.2</v>
      </c>
    </row>
    <row r="51" spans="1:20">
      <c r="P51" s="58"/>
      <c r="Q51" s="58"/>
      <c r="R51" s="50"/>
      <c r="S51" s="49"/>
      <c r="T51" s="28"/>
    </row>
    <row r="52" spans="1:20" ht="39.75" customHeight="1">
      <c r="A52" s="95" t="s">
        <v>282</v>
      </c>
      <c r="B52" s="599" t="s">
        <v>283</v>
      </c>
      <c r="C52" s="599"/>
      <c r="D52" s="599"/>
      <c r="E52" s="599"/>
      <c r="F52" s="599"/>
      <c r="G52" s="599"/>
      <c r="H52" s="599"/>
      <c r="I52" s="599"/>
      <c r="J52" s="599"/>
      <c r="K52" s="599"/>
      <c r="L52" s="599"/>
      <c r="M52" s="599"/>
      <c r="N52" s="599"/>
      <c r="O52" s="599"/>
      <c r="P52" s="599"/>
      <c r="Q52" s="599"/>
    </row>
    <row r="53" spans="1:20">
      <c r="B53" s="640" t="s">
        <v>3</v>
      </c>
      <c r="C53" s="594" t="s">
        <v>0</v>
      </c>
      <c r="D53" s="583">
        <v>1</v>
      </c>
      <c r="E53" s="583" t="s">
        <v>1</v>
      </c>
      <c r="F53" s="584">
        <v>3</v>
      </c>
      <c r="G53" s="583" t="s">
        <v>1</v>
      </c>
      <c r="H53" s="31">
        <v>0.6</v>
      </c>
      <c r="I53" s="32" t="s">
        <v>14</v>
      </c>
      <c r="J53" s="31">
        <v>1.3</v>
      </c>
      <c r="K53" s="583" t="s">
        <v>1</v>
      </c>
      <c r="L53" s="584">
        <v>2.8</v>
      </c>
      <c r="M53" s="38"/>
      <c r="N53" s="40"/>
      <c r="O53" s="594" t="s">
        <v>0</v>
      </c>
      <c r="P53" s="587">
        <f>ROUND(L53*F53*D53*(H53+J53)/2,2)</f>
        <v>7.98</v>
      </c>
      <c r="Q53" s="606" t="s">
        <v>275</v>
      </c>
    </row>
    <row r="54" spans="1:20">
      <c r="B54" s="640"/>
      <c r="C54" s="594"/>
      <c r="D54" s="583"/>
      <c r="E54" s="583"/>
      <c r="F54" s="584"/>
      <c r="G54" s="583"/>
      <c r="H54" s="7"/>
      <c r="I54" s="29">
        <v>2</v>
      </c>
      <c r="J54" s="7"/>
      <c r="K54" s="583"/>
      <c r="L54" s="584"/>
      <c r="M54" s="38"/>
      <c r="N54" s="38"/>
      <c r="O54" s="594"/>
      <c r="P54" s="587"/>
      <c r="Q54" s="606"/>
    </row>
    <row r="55" spans="1:20">
      <c r="B55" s="640" t="s">
        <v>2</v>
      </c>
      <c r="C55" s="594" t="s">
        <v>0</v>
      </c>
      <c r="D55" s="583">
        <v>1</v>
      </c>
      <c r="E55" s="583" t="s">
        <v>1</v>
      </c>
      <c r="F55" s="584">
        <v>5.8</v>
      </c>
      <c r="G55" s="583" t="s">
        <v>1</v>
      </c>
      <c r="H55" s="31">
        <v>0.6</v>
      </c>
      <c r="I55" s="32" t="s">
        <v>14</v>
      </c>
      <c r="J55" s="31">
        <v>1.54</v>
      </c>
      <c r="K55" s="583" t="s">
        <v>1</v>
      </c>
      <c r="L55" s="584">
        <v>3.75</v>
      </c>
      <c r="M55" s="38"/>
      <c r="N55" s="40"/>
      <c r="O55" s="594" t="s">
        <v>0</v>
      </c>
      <c r="P55" s="587">
        <f>ROUND(L55*F55*D55*(H55+J55)/2,2)</f>
        <v>23.27</v>
      </c>
      <c r="Q55" s="606" t="s">
        <v>275</v>
      </c>
    </row>
    <row r="56" spans="1:20">
      <c r="B56" s="640"/>
      <c r="C56" s="594"/>
      <c r="D56" s="583"/>
      <c r="E56" s="583"/>
      <c r="F56" s="584"/>
      <c r="G56" s="583"/>
      <c r="H56" s="7"/>
      <c r="I56" s="29">
        <v>2</v>
      </c>
      <c r="J56" s="7"/>
      <c r="K56" s="583"/>
      <c r="L56" s="584"/>
      <c r="M56" s="38"/>
      <c r="N56" s="38"/>
      <c r="O56" s="594"/>
      <c r="P56" s="587"/>
      <c r="Q56" s="606"/>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638" t="s">
        <v>12</v>
      </c>
      <c r="C65" s="594" t="s">
        <v>0</v>
      </c>
      <c r="D65" s="583">
        <v>2</v>
      </c>
      <c r="E65" s="583" t="s">
        <v>1</v>
      </c>
      <c r="F65" s="45">
        <v>1.05</v>
      </c>
      <c r="G65" s="46" t="s">
        <v>14</v>
      </c>
      <c r="H65" s="31">
        <v>0.75</v>
      </c>
      <c r="I65" s="583" t="s">
        <v>1</v>
      </c>
      <c r="J65" s="31">
        <v>3.14</v>
      </c>
      <c r="K65" s="583" t="s">
        <v>1</v>
      </c>
      <c r="L65" s="584">
        <v>1.2</v>
      </c>
      <c r="M65" s="632" t="s">
        <v>1</v>
      </c>
      <c r="N65" s="634">
        <v>1.2</v>
      </c>
      <c r="O65" s="628" t="s">
        <v>0</v>
      </c>
      <c r="P65" s="636">
        <f>ROUND((N65*L65*D65*(J65/J66)*(F65+H65)/G66),2)</f>
        <v>2.0299999999999998</v>
      </c>
      <c r="Q65" t="s">
        <v>272</v>
      </c>
    </row>
    <row r="66" spans="1:20">
      <c r="B66" s="589"/>
      <c r="C66" s="583"/>
      <c r="D66" s="583"/>
      <c r="E66" s="583"/>
      <c r="F66" s="38"/>
      <c r="G66" s="38">
        <v>2</v>
      </c>
      <c r="H66" s="20"/>
      <c r="I66" s="583"/>
      <c r="J66" s="20">
        <v>4</v>
      </c>
      <c r="K66" s="583"/>
      <c r="L66" s="584"/>
      <c r="M66" s="633"/>
      <c r="N66" s="635"/>
      <c r="O66" s="629"/>
      <c r="P66" s="637"/>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582">
        <v>2334</v>
      </c>
      <c r="L68" s="582"/>
      <c r="M68" s="582"/>
      <c r="N68" s="597" t="s">
        <v>273</v>
      </c>
      <c r="O68" s="598"/>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627" t="s">
        <v>285</v>
      </c>
      <c r="C72" s="627"/>
      <c r="D72" s="627"/>
      <c r="E72" s="627"/>
      <c r="F72" s="627"/>
      <c r="G72" s="627"/>
      <c r="H72" s="627"/>
      <c r="I72" s="627"/>
      <c r="J72" s="627"/>
      <c r="K72" s="627"/>
      <c r="L72" s="627"/>
      <c r="M72" s="627"/>
      <c r="N72" s="627"/>
      <c r="O72" s="627"/>
      <c r="P72" s="627"/>
      <c r="Q72" s="627"/>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582">
        <v>9264</v>
      </c>
      <c r="L77" s="582"/>
      <c r="M77" s="582"/>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627" t="s">
        <v>37</v>
      </c>
      <c r="C81" s="627"/>
      <c r="D81" s="627"/>
      <c r="E81" s="627"/>
      <c r="F81" s="627"/>
      <c r="G81" s="627"/>
      <c r="H81" s="627"/>
      <c r="I81" s="627"/>
      <c r="J81" s="627"/>
      <c r="K81" s="627"/>
      <c r="L81" s="627"/>
      <c r="M81" s="627"/>
      <c r="N81" s="627"/>
      <c r="O81" s="627"/>
      <c r="P81" s="627"/>
      <c r="Q81" s="627"/>
    </row>
    <row r="82" spans="1:20" ht="18.75" customHeight="1">
      <c r="A82" s="54"/>
      <c r="B82" s="617" t="s">
        <v>38</v>
      </c>
      <c r="C82" s="617"/>
      <c r="D82" s="617"/>
      <c r="E82" s="617"/>
      <c r="F82" s="617"/>
      <c r="G82" s="617"/>
      <c r="H82" s="617"/>
      <c r="I82" s="617"/>
      <c r="J82" s="617"/>
      <c r="K82" s="617"/>
      <c r="L82" s="617"/>
      <c r="M82" s="617"/>
      <c r="N82" s="617"/>
      <c r="O82" s="617"/>
      <c r="P82" s="617"/>
      <c r="Q82" s="617"/>
    </row>
    <row r="83" spans="1:20">
      <c r="B83" s="623" t="s">
        <v>66</v>
      </c>
      <c r="C83" s="594" t="s">
        <v>0</v>
      </c>
      <c r="D83" s="583">
        <v>1</v>
      </c>
      <c r="E83" s="583" t="s">
        <v>1</v>
      </c>
      <c r="F83" s="584">
        <v>3</v>
      </c>
      <c r="G83" s="583" t="s">
        <v>1</v>
      </c>
      <c r="H83" s="31">
        <v>0.15</v>
      </c>
      <c r="I83" s="32" t="s">
        <v>14</v>
      </c>
      <c r="J83" s="31">
        <v>0.32</v>
      </c>
      <c r="K83" s="583" t="s">
        <v>1</v>
      </c>
      <c r="L83" s="584">
        <v>0.68</v>
      </c>
      <c r="M83" s="38"/>
      <c r="N83" s="40"/>
      <c r="O83" s="594" t="s">
        <v>0</v>
      </c>
      <c r="P83" s="587">
        <f>ROUND(L83*F83*D83*(H83+J83)/2,2)</f>
        <v>0.48</v>
      </c>
      <c r="Q83" s="606" t="s">
        <v>275</v>
      </c>
    </row>
    <row r="84" spans="1:20">
      <c r="B84" s="624"/>
      <c r="C84" s="594"/>
      <c r="D84" s="583"/>
      <c r="E84" s="583"/>
      <c r="F84" s="584"/>
      <c r="G84" s="583"/>
      <c r="H84" s="7"/>
      <c r="I84" s="29">
        <v>2</v>
      </c>
      <c r="J84" s="7"/>
      <c r="K84" s="583"/>
      <c r="L84" s="584"/>
      <c r="M84" s="38"/>
      <c r="N84" s="38"/>
      <c r="O84" s="594"/>
      <c r="P84" s="587"/>
      <c r="Q84" s="606"/>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623" t="s">
        <v>67</v>
      </c>
      <c r="C86" s="594" t="s">
        <v>0</v>
      </c>
      <c r="D86" s="583">
        <v>1</v>
      </c>
      <c r="E86" s="583" t="s">
        <v>1</v>
      </c>
      <c r="F86" s="584">
        <v>5.8</v>
      </c>
      <c r="G86" s="583" t="s">
        <v>1</v>
      </c>
      <c r="H86" s="31">
        <v>0.15</v>
      </c>
      <c r="I86" s="32" t="s">
        <v>14</v>
      </c>
      <c r="J86" s="31">
        <v>0.56000000000000005</v>
      </c>
      <c r="K86" s="583" t="s">
        <v>1</v>
      </c>
      <c r="L86" s="584">
        <v>1.62</v>
      </c>
      <c r="M86" s="39"/>
      <c r="N86" s="37"/>
      <c r="O86" s="628" t="s">
        <v>0</v>
      </c>
      <c r="P86" s="587">
        <f>ROUND(L86*F86*D86*(H86+J86)/2,2)</f>
        <v>3.34</v>
      </c>
      <c r="Q86" s="625" t="s">
        <v>275</v>
      </c>
      <c r="R86" s="18"/>
    </row>
    <row r="87" spans="1:20">
      <c r="B87" s="624"/>
      <c r="C87" s="594"/>
      <c r="D87" s="583"/>
      <c r="E87" s="583"/>
      <c r="F87" s="584"/>
      <c r="G87" s="583"/>
      <c r="H87" s="7"/>
      <c r="I87" s="29">
        <v>2</v>
      </c>
      <c r="J87" s="7"/>
      <c r="K87" s="583"/>
      <c r="L87" s="584"/>
      <c r="M87" s="39"/>
      <c r="N87" s="39"/>
      <c r="O87" s="628"/>
      <c r="P87" s="587"/>
      <c r="Q87" s="625"/>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603" t="s">
        <v>8</v>
      </c>
      <c r="N89" s="603"/>
      <c r="O89" s="76" t="s">
        <v>0</v>
      </c>
      <c r="P89" s="19">
        <f>SUM(P83:P88)</f>
        <v>15.05</v>
      </c>
      <c r="Q89" s="18" t="s">
        <v>272</v>
      </c>
      <c r="T89" s="11"/>
    </row>
    <row r="90" spans="1:20" ht="12.75" customHeight="1">
      <c r="B90" s="589" t="s">
        <v>48</v>
      </c>
      <c r="C90" s="589"/>
      <c r="D90" s="589"/>
      <c r="E90" s="589"/>
      <c r="F90" s="589"/>
      <c r="G90" s="589"/>
      <c r="H90" s="589"/>
      <c r="I90" s="20"/>
      <c r="J90" s="44"/>
      <c r="K90" s="20"/>
      <c r="L90" s="20"/>
      <c r="M90" s="20"/>
      <c r="N90" s="7"/>
      <c r="O90" s="1"/>
      <c r="P90" s="2"/>
      <c r="T90" s="11"/>
    </row>
    <row r="91" spans="1:20">
      <c r="B91" s="41"/>
      <c r="C91" s="594" t="s">
        <v>0</v>
      </c>
      <c r="D91" s="583">
        <v>2</v>
      </c>
      <c r="E91" s="583" t="s">
        <v>1</v>
      </c>
      <c r="F91" s="31">
        <v>3.14</v>
      </c>
      <c r="G91" s="583" t="s">
        <v>1</v>
      </c>
      <c r="H91" s="584">
        <v>1.2</v>
      </c>
      <c r="I91" s="583" t="s">
        <v>1</v>
      </c>
      <c r="J91" s="584">
        <v>1.2</v>
      </c>
      <c r="K91" s="583" t="s">
        <v>1</v>
      </c>
      <c r="L91" s="584">
        <v>0.6</v>
      </c>
      <c r="M91" s="33"/>
      <c r="N91" s="34"/>
      <c r="O91" s="628" t="s">
        <v>0</v>
      </c>
      <c r="P91" s="630">
        <f>ROUND((L91*J91*H91*D91)*(F91)/4,2)</f>
        <v>1.36</v>
      </c>
      <c r="Q91" s="625" t="s">
        <v>275</v>
      </c>
      <c r="T91" s="11"/>
    </row>
    <row r="92" spans="1:20">
      <c r="B92" s="41"/>
      <c r="C92" s="594"/>
      <c r="D92" s="583"/>
      <c r="E92" s="583"/>
      <c r="F92" s="36">
        <v>4</v>
      </c>
      <c r="G92" s="583"/>
      <c r="H92" s="584"/>
      <c r="I92" s="583"/>
      <c r="J92" s="584"/>
      <c r="K92" s="583"/>
      <c r="L92" s="584"/>
      <c r="M92" s="30"/>
      <c r="N92" s="31"/>
      <c r="O92" s="629"/>
      <c r="P92" s="631"/>
      <c r="Q92" s="626"/>
      <c r="T92" s="11"/>
    </row>
    <row r="93" spans="1:20">
      <c r="L93" t="s">
        <v>49</v>
      </c>
      <c r="N93" s="7"/>
      <c r="O93" s="1" t="s">
        <v>0</v>
      </c>
      <c r="P93" s="2">
        <f>P89-P91</f>
        <v>13.690000000000001</v>
      </c>
      <c r="Q93" t="s">
        <v>272</v>
      </c>
    </row>
    <row r="94" spans="1:20" ht="12.75" customHeight="1">
      <c r="I94" s="8"/>
      <c r="J94" s="153" t="s">
        <v>332</v>
      </c>
      <c r="K94" s="582">
        <v>358</v>
      </c>
      <c r="L94" s="582"/>
      <c r="M94" s="582"/>
      <c r="N94" s="597" t="s">
        <v>273</v>
      </c>
      <c r="O94" s="598"/>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604" t="s">
        <v>24</v>
      </c>
      <c r="Q96" s="604"/>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604" t="s">
        <v>25</v>
      </c>
      <c r="Q99" s="604"/>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627" t="s">
        <v>288</v>
      </c>
      <c r="C101" s="627"/>
      <c r="D101" s="627"/>
      <c r="E101" s="627"/>
      <c r="F101" s="627"/>
      <c r="G101" s="627"/>
      <c r="H101" s="627"/>
      <c r="I101" s="627"/>
      <c r="J101" s="627"/>
      <c r="K101" s="627"/>
      <c r="L101" s="627"/>
      <c r="M101" s="627"/>
      <c r="N101" s="627"/>
      <c r="O101" s="627"/>
      <c r="P101" s="627"/>
      <c r="Q101" s="627"/>
    </row>
    <row r="102" spans="1:21">
      <c r="B102" s="623" t="s">
        <v>66</v>
      </c>
      <c r="C102" s="594" t="s">
        <v>0</v>
      </c>
      <c r="D102" s="583">
        <v>2</v>
      </c>
      <c r="E102" s="583" t="s">
        <v>1</v>
      </c>
      <c r="F102" s="584">
        <v>1.2</v>
      </c>
      <c r="G102" s="583" t="s">
        <v>1</v>
      </c>
      <c r="H102" s="31">
        <v>0</v>
      </c>
      <c r="I102" s="32" t="s">
        <v>14</v>
      </c>
      <c r="J102" s="31">
        <v>0.25</v>
      </c>
      <c r="K102" s="583" t="s">
        <v>1</v>
      </c>
      <c r="L102" s="593">
        <v>2.125</v>
      </c>
      <c r="M102" s="38"/>
      <c r="N102" s="40"/>
      <c r="O102" s="594" t="s">
        <v>0</v>
      </c>
      <c r="P102" s="587">
        <f>ROUND(L102*F102*D102*(H102+J102)/2,2)</f>
        <v>0.64</v>
      </c>
      <c r="Q102" s="606" t="s">
        <v>7</v>
      </c>
    </row>
    <row r="103" spans="1:21">
      <c r="B103" s="624"/>
      <c r="C103" s="594"/>
      <c r="D103" s="583"/>
      <c r="E103" s="583"/>
      <c r="F103" s="584"/>
      <c r="G103" s="583"/>
      <c r="H103" s="7"/>
      <c r="I103" s="29">
        <v>2</v>
      </c>
      <c r="J103" s="7"/>
      <c r="K103" s="583"/>
      <c r="L103" s="593"/>
      <c r="M103" s="38"/>
      <c r="N103" s="38"/>
      <c r="O103" s="594"/>
      <c r="P103" s="587"/>
      <c r="Q103" s="606"/>
      <c r="U103" s="11"/>
    </row>
    <row r="104" spans="1:21">
      <c r="B104" s="623" t="s">
        <v>67</v>
      </c>
      <c r="C104" s="594" t="s">
        <v>0</v>
      </c>
      <c r="D104" s="583">
        <v>2</v>
      </c>
      <c r="E104" s="583" t="s">
        <v>1</v>
      </c>
      <c r="F104" s="584">
        <v>2</v>
      </c>
      <c r="G104" s="583" t="s">
        <v>1</v>
      </c>
      <c r="H104" s="31">
        <v>0</v>
      </c>
      <c r="I104" s="32" t="s">
        <v>14</v>
      </c>
      <c r="J104" s="31">
        <v>0.49</v>
      </c>
      <c r="K104" s="583" t="s">
        <v>1</v>
      </c>
      <c r="L104" s="593">
        <v>2.125</v>
      </c>
      <c r="M104" s="38"/>
      <c r="N104" s="40"/>
      <c r="O104" s="594" t="s">
        <v>0</v>
      </c>
      <c r="P104" s="587">
        <f>ROUND(L104*F104*D104*(H104+J104)/2,2)</f>
        <v>2.08</v>
      </c>
      <c r="Q104" s="606" t="s">
        <v>7</v>
      </c>
      <c r="U104" s="11"/>
    </row>
    <row r="105" spans="1:21">
      <c r="B105" s="624"/>
      <c r="C105" s="594"/>
      <c r="D105" s="583"/>
      <c r="E105" s="583"/>
      <c r="F105" s="584"/>
      <c r="G105" s="583"/>
      <c r="H105" s="7"/>
      <c r="I105" s="29">
        <v>2</v>
      </c>
      <c r="J105" s="7"/>
      <c r="K105" s="583"/>
      <c r="L105" s="593"/>
      <c r="M105" s="38"/>
      <c r="N105" s="38"/>
      <c r="O105" s="594"/>
      <c r="P105" s="587"/>
      <c r="Q105" s="606"/>
      <c r="U105" s="11"/>
    </row>
    <row r="106" spans="1:21" ht="14.25">
      <c r="B106" s="590" t="s">
        <v>27</v>
      </c>
      <c r="C106" s="591" t="s">
        <v>0</v>
      </c>
      <c r="D106" s="592">
        <v>1</v>
      </c>
      <c r="E106" s="592" t="s">
        <v>1</v>
      </c>
      <c r="F106" s="147">
        <v>7.3</v>
      </c>
      <c r="G106" s="148" t="s">
        <v>14</v>
      </c>
      <c r="H106" s="147">
        <v>7.6</v>
      </c>
      <c r="I106" s="592" t="s">
        <v>1</v>
      </c>
      <c r="J106" s="607">
        <v>1.8</v>
      </c>
      <c r="K106" s="592" t="s">
        <v>1</v>
      </c>
      <c r="L106" s="607">
        <v>0.6</v>
      </c>
      <c r="M106" s="33"/>
      <c r="N106" s="34"/>
      <c r="O106" s="35" t="s">
        <v>0</v>
      </c>
      <c r="P106" s="19">
        <f>ROUND((L106*J106*D106)*(F106+H106)/2,2)</f>
        <v>8.0500000000000007</v>
      </c>
      <c r="Q106" s="18" t="s">
        <v>7</v>
      </c>
      <c r="U106" s="11"/>
    </row>
    <row r="107" spans="1:21">
      <c r="B107" s="590"/>
      <c r="C107" s="591"/>
      <c r="D107" s="592"/>
      <c r="E107" s="592"/>
      <c r="F107" s="149"/>
      <c r="G107" s="150">
        <v>2</v>
      </c>
      <c r="H107" s="149"/>
      <c r="I107" s="592"/>
      <c r="J107" s="607"/>
      <c r="K107" s="592"/>
      <c r="L107" s="607"/>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582">
        <v>116</v>
      </c>
      <c r="L109" s="582"/>
      <c r="M109" s="582"/>
      <c r="N109" s="597" t="s">
        <v>273</v>
      </c>
      <c r="O109" s="598"/>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617" t="s">
        <v>40</v>
      </c>
      <c r="C113" s="617"/>
      <c r="D113" s="617"/>
      <c r="E113" s="617"/>
      <c r="F113" s="617"/>
      <c r="G113" s="617"/>
      <c r="H113" s="617"/>
      <c r="I113" s="617"/>
      <c r="J113" s="617"/>
      <c r="K113" s="617"/>
      <c r="L113" s="617"/>
      <c r="M113" s="617"/>
      <c r="N113" s="617"/>
      <c r="O113" s="617"/>
      <c r="P113" s="617"/>
      <c r="Q113" s="617"/>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582">
        <v>76</v>
      </c>
      <c r="L128" s="582"/>
      <c r="M128" s="582"/>
      <c r="N128" s="597" t="s">
        <v>276</v>
      </c>
      <c r="O128" s="598"/>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615" t="s">
        <v>78</v>
      </c>
      <c r="C132" s="615"/>
      <c r="D132" s="615"/>
      <c r="E132" s="615"/>
      <c r="F132" s="615"/>
      <c r="G132" s="615"/>
      <c r="H132" s="615"/>
      <c r="I132" s="615"/>
      <c r="J132" s="615"/>
      <c r="K132" s="615"/>
      <c r="L132" s="615"/>
      <c r="M132" s="615"/>
      <c r="N132" s="615"/>
      <c r="O132" s="615"/>
      <c r="P132" s="615"/>
      <c r="Q132" s="615"/>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578">
        <f>P30*1</f>
        <v>5.75</v>
      </c>
      <c r="I134" s="578"/>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578">
        <f>P39*1</f>
        <v>2.5400000000000005</v>
      </c>
      <c r="I135" s="578"/>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578">
        <f>P67*1</f>
        <v>38.939999999999991</v>
      </c>
      <c r="I136" s="578"/>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578">
        <f>P93*1</f>
        <v>13.690000000000001</v>
      </c>
      <c r="I137" s="578"/>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588" t="s">
        <v>8</v>
      </c>
      <c r="N138" s="588"/>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578">
        <f>H135*1</f>
        <v>2.5400000000000005</v>
      </c>
      <c r="I141" s="578"/>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578">
        <v>38.93</v>
      </c>
      <c r="I142" s="578"/>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578">
        <f>P127*1</f>
        <v>37.850000000000009</v>
      </c>
      <c r="I143" s="578"/>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588" t="s">
        <v>8</v>
      </c>
      <c r="N144" s="588"/>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604" t="s">
        <v>24</v>
      </c>
      <c r="Q147" s="604"/>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604" t="s">
        <v>25</v>
      </c>
      <c r="Q151" s="604"/>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619">
        <f>P138*1</f>
        <v>70.66</v>
      </c>
      <c r="L154" s="620"/>
      <c r="M154" s="600" t="s">
        <v>272</v>
      </c>
      <c r="N154" s="600"/>
      <c r="O154" s="51"/>
      <c r="P154" s="18"/>
      <c r="Q154" s="56"/>
      <c r="R154" s="51"/>
      <c r="S154" s="51"/>
    </row>
    <row r="155" spans="1:20">
      <c r="B155" s="61" t="s">
        <v>270</v>
      </c>
      <c r="C155" s="61"/>
      <c r="D155" s="61"/>
      <c r="E155" s="61"/>
      <c r="F155" s="61"/>
      <c r="G155" s="61"/>
      <c r="H155" s="63"/>
      <c r="I155" s="63"/>
      <c r="J155" s="63"/>
      <c r="K155" s="621">
        <f>P144*1</f>
        <v>15.340000000000002</v>
      </c>
      <c r="L155" s="621"/>
      <c r="M155" s="622" t="s">
        <v>272</v>
      </c>
      <c r="N155" s="622"/>
      <c r="O155" s="51"/>
      <c r="P155" s="18"/>
      <c r="Q155" s="56"/>
      <c r="R155" s="51"/>
      <c r="S155" s="51"/>
    </row>
    <row r="156" spans="1:20">
      <c r="B156" s="61"/>
      <c r="C156" s="61"/>
      <c r="D156" s="61"/>
      <c r="E156" s="61"/>
      <c r="F156" s="61"/>
      <c r="G156" s="61"/>
      <c r="H156" s="61" t="s">
        <v>271</v>
      </c>
      <c r="I156" s="61"/>
      <c r="J156" s="61"/>
      <c r="K156" s="608">
        <f>K154+K155</f>
        <v>86</v>
      </c>
      <c r="L156" s="609"/>
      <c r="M156" s="600" t="s">
        <v>272</v>
      </c>
      <c r="N156" s="600"/>
      <c r="O156" s="51"/>
      <c r="P156" s="18"/>
      <c r="Q156" s="56"/>
      <c r="R156" s="51"/>
      <c r="S156" s="51"/>
    </row>
    <row r="157" spans="1:20">
      <c r="B157" s="56"/>
      <c r="C157" s="56"/>
      <c r="D157" s="56"/>
      <c r="E157" s="56"/>
      <c r="F157" s="56"/>
      <c r="G157" s="56"/>
      <c r="H157" s="56"/>
      <c r="I157" s="56"/>
      <c r="J157" s="577" t="s">
        <v>332</v>
      </c>
      <c r="K157" s="577"/>
      <c r="L157" s="582">
        <v>95</v>
      </c>
      <c r="M157" s="582"/>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582">
        <f>$K$154</f>
        <v>70.66</v>
      </c>
      <c r="O165" s="582"/>
      <c r="P165" s="600" t="s">
        <v>272</v>
      </c>
      <c r="Q165" s="600"/>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582">
        <f>$N$165</f>
        <v>70.66</v>
      </c>
      <c r="F168" s="582"/>
      <c r="G168" t="s">
        <v>1</v>
      </c>
      <c r="H168" s="7">
        <v>2.4</v>
      </c>
      <c r="I168" t="s">
        <v>1</v>
      </c>
      <c r="J168" s="2">
        <v>26</v>
      </c>
      <c r="L168" s="17"/>
      <c r="M168" s="60" t="s">
        <v>0</v>
      </c>
      <c r="N168" s="579">
        <f>ROUND(E168*H168*J168,2)</f>
        <v>4409.18</v>
      </c>
      <c r="O168" s="579"/>
      <c r="P168" s="65" t="s">
        <v>58</v>
      </c>
      <c r="Q168" s="58"/>
      <c r="R168" s="50"/>
      <c r="S168" s="49"/>
      <c r="T168" s="26"/>
    </row>
    <row r="169" spans="1:20">
      <c r="J169" s="577" t="s">
        <v>332</v>
      </c>
      <c r="K169" s="577"/>
      <c r="L169" s="582">
        <v>3.6</v>
      </c>
      <c r="M169" s="582"/>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579">
        <f>$N$165</f>
        <v>70.66</v>
      </c>
      <c r="F172" s="579"/>
      <c r="G172" t="s">
        <v>1</v>
      </c>
      <c r="H172" s="7">
        <v>2.4</v>
      </c>
      <c r="I172" t="s">
        <v>1</v>
      </c>
      <c r="J172" s="2">
        <v>4</v>
      </c>
      <c r="L172" s="17"/>
      <c r="M172" s="60" t="s">
        <v>0</v>
      </c>
      <c r="N172" s="579">
        <f>ROUND(E172*H172*J172,2)</f>
        <v>678.34</v>
      </c>
      <c r="O172" s="579"/>
      <c r="P172" s="65" t="s">
        <v>58</v>
      </c>
      <c r="Q172" s="58"/>
      <c r="R172" s="50"/>
      <c r="S172" s="49"/>
      <c r="T172" s="26"/>
    </row>
    <row r="173" spans="1:20">
      <c r="J173" s="577" t="s">
        <v>332</v>
      </c>
      <c r="K173" s="577"/>
      <c r="L173" s="582">
        <v>8.6</v>
      </c>
      <c r="M173" s="582"/>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581" t="s">
        <v>312</v>
      </c>
      <c r="D178" s="581"/>
      <c r="E178" s="581"/>
      <c r="F178" s="581"/>
      <c r="G178" s="581"/>
      <c r="H178" s="581"/>
      <c r="I178" s="581"/>
      <c r="J178" s="581"/>
      <c r="K178" s="581"/>
      <c r="R178" s="16"/>
      <c r="S178" s="16"/>
    </row>
    <row r="179" spans="1:21">
      <c r="C179" t="s">
        <v>313</v>
      </c>
      <c r="R179" s="16"/>
      <c r="S179" s="16"/>
    </row>
    <row r="180" spans="1:21">
      <c r="C180" t="s">
        <v>61</v>
      </c>
      <c r="F180" s="22"/>
      <c r="I180" s="24"/>
      <c r="J180" s="24"/>
      <c r="K180" s="47"/>
      <c r="L180" s="17"/>
      <c r="M180" s="60" t="s">
        <v>0</v>
      </c>
      <c r="N180" s="582">
        <f>$K$155</f>
        <v>15.340000000000002</v>
      </c>
      <c r="O180" s="582"/>
      <c r="P180" s="600" t="s">
        <v>272</v>
      </c>
      <c r="Q180" s="600"/>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579">
        <f>$N$180</f>
        <v>15.340000000000002</v>
      </c>
      <c r="F183" s="579"/>
      <c r="G183" t="s">
        <v>1</v>
      </c>
      <c r="H183" s="7">
        <v>1.84</v>
      </c>
      <c r="I183" t="s">
        <v>1</v>
      </c>
      <c r="J183" s="2">
        <v>29</v>
      </c>
      <c r="L183" s="17"/>
      <c r="M183" s="60" t="s">
        <v>0</v>
      </c>
      <c r="N183" s="579">
        <f>ROUND(E183*H183*J183,2)</f>
        <v>818.54</v>
      </c>
      <c r="O183" s="579"/>
      <c r="P183" s="65" t="s">
        <v>58</v>
      </c>
      <c r="Q183" s="58"/>
      <c r="R183" s="50"/>
      <c r="S183" s="49"/>
      <c r="T183" s="26"/>
    </row>
    <row r="184" spans="1:21">
      <c r="J184" s="577" t="s">
        <v>332</v>
      </c>
      <c r="K184" s="577"/>
      <c r="L184" s="582">
        <v>3.6</v>
      </c>
      <c r="M184" s="582"/>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579">
        <f>$N$180</f>
        <v>15.340000000000002</v>
      </c>
      <c r="F187" s="579"/>
      <c r="G187" t="s">
        <v>1</v>
      </c>
      <c r="H187" s="7">
        <v>1.84</v>
      </c>
      <c r="I187" t="s">
        <v>1</v>
      </c>
      <c r="J187" s="2">
        <v>4</v>
      </c>
      <c r="L187" s="17"/>
      <c r="M187" s="60" t="s">
        <v>0</v>
      </c>
      <c r="N187" s="579">
        <f>ROUND(E187*H187*J187,2)</f>
        <v>112.9</v>
      </c>
      <c r="O187" s="579"/>
      <c r="P187" s="65" t="s">
        <v>58</v>
      </c>
      <c r="Q187" s="58"/>
      <c r="R187" s="50"/>
      <c r="S187" s="49"/>
      <c r="T187" s="26"/>
    </row>
    <row r="188" spans="1:21">
      <c r="J188" s="577" t="s">
        <v>332</v>
      </c>
      <c r="K188" s="577"/>
      <c r="L188" s="582">
        <v>8.6</v>
      </c>
      <c r="M188" s="582"/>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601" t="s">
        <v>304</v>
      </c>
      <c r="C195" s="601"/>
      <c r="D195" s="651" t="s">
        <v>0</v>
      </c>
      <c r="E195" s="612"/>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646" t="s">
        <v>20</v>
      </c>
      <c r="J198" s="646"/>
      <c r="K198" s="646"/>
      <c r="L198" s="595" t="s">
        <v>302</v>
      </c>
      <c r="M198" s="595"/>
      <c r="N198" s="582">
        <f>H198*10</f>
        <v>376</v>
      </c>
      <c r="O198" s="582"/>
    </row>
    <row r="199" spans="1:21">
      <c r="B199" t="s">
        <v>317</v>
      </c>
      <c r="H199" s="2">
        <v>12.8</v>
      </c>
      <c r="I199" s="648" t="s">
        <v>20</v>
      </c>
      <c r="J199" s="648"/>
      <c r="K199" s="648"/>
      <c r="L199" s="649" t="s">
        <v>302</v>
      </c>
      <c r="M199" s="649"/>
      <c r="N199" s="613">
        <f>H199*4</f>
        <v>51.2</v>
      </c>
      <c r="O199" s="613"/>
    </row>
    <row r="200" spans="1:21">
      <c r="B200" t="s">
        <v>318</v>
      </c>
      <c r="H200" s="2">
        <v>7.6</v>
      </c>
      <c r="I200" s="648" t="s">
        <v>20</v>
      </c>
      <c r="J200" s="648"/>
      <c r="K200" s="648"/>
      <c r="L200" s="649" t="s">
        <v>302</v>
      </c>
      <c r="M200" s="649"/>
      <c r="N200" s="613">
        <f>H200*4</f>
        <v>30.4</v>
      </c>
      <c r="O200" s="613"/>
    </row>
    <row r="201" spans="1:21">
      <c r="B201" t="s">
        <v>319</v>
      </c>
      <c r="H201" s="2">
        <v>30.1</v>
      </c>
      <c r="I201" s="645" t="s">
        <v>20</v>
      </c>
      <c r="J201" s="645"/>
      <c r="K201" s="645"/>
      <c r="L201" s="647" t="s">
        <v>302</v>
      </c>
      <c r="M201" s="647"/>
      <c r="N201" s="596">
        <f>H201*4</f>
        <v>120.4</v>
      </c>
      <c r="O201" s="596"/>
    </row>
    <row r="202" spans="1:21">
      <c r="J202" s="20" t="s">
        <v>8</v>
      </c>
      <c r="K202" s="1"/>
      <c r="L202" s="595" t="s">
        <v>302</v>
      </c>
      <c r="M202" s="595"/>
      <c r="N202" s="613">
        <f>SUM(N198:N201)</f>
        <v>578</v>
      </c>
      <c r="O202" s="613"/>
    </row>
    <row r="203" spans="1:21">
      <c r="N203" s="21"/>
      <c r="O203" s="21"/>
    </row>
    <row r="204" spans="1:21">
      <c r="B204" t="s">
        <v>23</v>
      </c>
      <c r="F204" s="582">
        <f>J196*1</f>
        <v>10</v>
      </c>
      <c r="G204" s="601"/>
      <c r="H204" t="s">
        <v>13</v>
      </c>
      <c r="I204" s="48" t="s">
        <v>0</v>
      </c>
      <c r="J204" s="2">
        <f>$F$734</f>
        <v>10</v>
      </c>
      <c r="K204" t="s">
        <v>1</v>
      </c>
      <c r="L204" s="602">
        <f>N202*1</f>
        <v>578</v>
      </c>
      <c r="M204" s="603"/>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604" t="s">
        <v>24</v>
      </c>
      <c r="Q206" s="604"/>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604" t="s">
        <v>25</v>
      </c>
      <c r="Q209" s="604"/>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582">
        <f>P138*1</f>
        <v>70.66</v>
      </c>
      <c r="K212" s="582"/>
      <c r="L212" s="600" t="s">
        <v>272</v>
      </c>
      <c r="M212" s="600"/>
      <c r="N212" s="18"/>
      <c r="O212" s="18"/>
      <c r="P212" s="18"/>
      <c r="Q212" s="18"/>
      <c r="R212" s="18"/>
      <c r="S212" s="25"/>
      <c r="T212" s="57"/>
      <c r="U212" s="28"/>
    </row>
    <row r="213" spans="1:21" ht="14.25">
      <c r="F213" s="577" t="s">
        <v>332</v>
      </c>
      <c r="G213" s="577"/>
      <c r="H213" s="601">
        <v>121.13</v>
      </c>
      <c r="I213" s="601"/>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582">
        <f>P144*1</f>
        <v>15.340000000000002</v>
      </c>
      <c r="K215" s="582"/>
      <c r="L215" s="600" t="s">
        <v>272</v>
      </c>
      <c r="M215" s="600"/>
      <c r="N215" s="18"/>
      <c r="O215" s="18"/>
      <c r="P215" s="18"/>
      <c r="Q215" s="18"/>
      <c r="R215" s="18"/>
      <c r="S215" s="25"/>
      <c r="T215" s="57"/>
      <c r="U215" s="28"/>
    </row>
    <row r="216" spans="1:21" ht="14.25">
      <c r="F216" s="577" t="s">
        <v>332</v>
      </c>
      <c r="G216" s="577"/>
      <c r="H216" s="582">
        <v>35.700000000000003</v>
      </c>
      <c r="I216" s="582"/>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611" t="s">
        <v>26</v>
      </c>
      <c r="Q218" s="611"/>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610" t="s">
        <v>321</v>
      </c>
      <c r="P222" s="610"/>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612" t="s">
        <v>326</v>
      </c>
      <c r="C240" s="612"/>
      <c r="D240" s="612"/>
      <c r="E240" s="612"/>
      <c r="F240" s="612"/>
      <c r="G240" s="612"/>
      <c r="H240" s="612"/>
      <c r="I240" s="612"/>
      <c r="J240" s="612"/>
      <c r="K240" s="612"/>
      <c r="L240" s="612"/>
      <c r="N240" s="612" t="s">
        <v>323</v>
      </c>
      <c r="O240" s="612"/>
      <c r="P240" s="612"/>
      <c r="Q240" s="612"/>
      <c r="R240" s="612"/>
      <c r="S240" s="612"/>
      <c r="T240" s="612"/>
    </row>
    <row r="241" spans="2:20">
      <c r="B241" s="612" t="s">
        <v>325</v>
      </c>
      <c r="C241" s="612"/>
      <c r="D241" s="612"/>
      <c r="E241" s="612"/>
      <c r="F241" s="612"/>
      <c r="G241" s="612"/>
      <c r="H241" s="612"/>
      <c r="I241" s="612"/>
      <c r="J241" s="612"/>
      <c r="K241" s="612"/>
      <c r="L241" s="612"/>
      <c r="N241" s="612" t="s">
        <v>324</v>
      </c>
      <c r="O241" s="612"/>
      <c r="P241" s="612"/>
      <c r="Q241" s="612"/>
      <c r="R241" s="612"/>
      <c r="S241" s="612"/>
      <c r="T241" s="612"/>
    </row>
    <row r="242" spans="2:20">
      <c r="B242" s="612"/>
      <c r="C242" s="612"/>
      <c r="D242" s="612"/>
      <c r="E242" s="612"/>
      <c r="F242" s="612"/>
      <c r="G242" s="612"/>
      <c r="H242" s="612"/>
      <c r="I242" s="612"/>
      <c r="J242" s="612"/>
      <c r="K242" s="612"/>
      <c r="L242" s="612"/>
      <c r="N242" s="612"/>
      <c r="O242" s="612"/>
      <c r="P242" s="612"/>
      <c r="Q242" s="612"/>
      <c r="R242" s="612"/>
      <c r="S242" s="612"/>
      <c r="T242" s="612"/>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650" t="s">
        <v>255</v>
      </c>
      <c r="B268" s="650"/>
      <c r="C268" s="650"/>
      <c r="D268" s="650"/>
      <c r="E268" s="650"/>
      <c r="F268" s="650"/>
      <c r="G268" s="650"/>
      <c r="H268" s="650"/>
      <c r="I268" s="650"/>
      <c r="J268" s="650"/>
      <c r="K268" s="650"/>
      <c r="L268" s="650"/>
      <c r="M268" s="650"/>
      <c r="N268" s="650"/>
      <c r="O268" s="650"/>
      <c r="P268" s="650"/>
      <c r="Q268" s="650"/>
      <c r="R268" s="650"/>
      <c r="S268" s="650"/>
      <c r="T268" s="650"/>
    </row>
    <row r="269" spans="1:20">
      <c r="A269" s="59"/>
      <c r="B269" s="59"/>
      <c r="C269" s="59"/>
      <c r="D269" s="59"/>
      <c r="G269" s="650" t="s">
        <v>81</v>
      </c>
      <c r="H269" s="650"/>
      <c r="I269" s="650"/>
      <c r="J269" s="650"/>
      <c r="K269" s="59"/>
      <c r="L269" s="59"/>
      <c r="M269" s="650" t="s">
        <v>79</v>
      </c>
      <c r="N269" s="650"/>
      <c r="O269" s="650"/>
      <c r="P269" s="650"/>
      <c r="Q269" s="59"/>
      <c r="R269" s="59"/>
      <c r="S269" s="59"/>
      <c r="T269" s="59"/>
    </row>
    <row r="270" spans="1:20">
      <c r="B270" s="642" t="s">
        <v>259</v>
      </c>
      <c r="C270" s="642"/>
      <c r="D270" s="642"/>
      <c r="E270" s="642"/>
      <c r="F270" s="642"/>
      <c r="G270" s="642"/>
      <c r="H270" s="642"/>
      <c r="I270" s="642"/>
      <c r="J270" s="642"/>
      <c r="K270" s="642"/>
      <c r="L270" s="642"/>
      <c r="M270" s="642"/>
      <c r="N270" s="642"/>
      <c r="O270" s="642"/>
      <c r="P270" s="642"/>
      <c r="Q270" s="642"/>
      <c r="R270" s="642"/>
      <c r="S270" s="642"/>
    </row>
    <row r="272" spans="1:20" ht="67.5" customHeight="1">
      <c r="A272" s="95" t="s">
        <v>278</v>
      </c>
      <c r="B272" s="627" t="s">
        <v>30</v>
      </c>
      <c r="C272" s="627"/>
      <c r="D272" s="627"/>
      <c r="E272" s="627"/>
      <c r="F272" s="627"/>
      <c r="G272" s="627"/>
      <c r="H272" s="627"/>
      <c r="I272" s="627"/>
      <c r="J272" s="627"/>
      <c r="K272" s="627"/>
      <c r="L272" s="627"/>
      <c r="M272" s="627"/>
      <c r="N272" s="627"/>
      <c r="O272" s="627"/>
      <c r="P272" s="627"/>
      <c r="Q272" s="627"/>
    </row>
    <row r="273" spans="1:20">
      <c r="A273" s="52"/>
      <c r="B273" s="599" t="s">
        <v>47</v>
      </c>
      <c r="C273" s="599"/>
      <c r="D273" s="599"/>
      <c r="E273" s="599"/>
      <c r="F273" s="599"/>
      <c r="G273" s="599"/>
      <c r="H273" s="599"/>
      <c r="I273" s="599"/>
      <c r="J273" s="599"/>
      <c r="K273" s="599"/>
      <c r="L273" s="599"/>
      <c r="M273" s="599"/>
      <c r="N273" s="599"/>
      <c r="O273" s="599"/>
      <c r="P273" s="599"/>
      <c r="Q273" s="599"/>
    </row>
    <row r="274" spans="1:20">
      <c r="A274" s="42"/>
      <c r="B274" s="599" t="s">
        <v>31</v>
      </c>
      <c r="C274" s="599"/>
      <c r="D274" s="599"/>
      <c r="E274" s="599"/>
      <c r="F274" s="599"/>
      <c r="G274" s="599"/>
      <c r="H274" s="599"/>
      <c r="I274" s="599"/>
      <c r="J274" s="599"/>
      <c r="K274" s="599"/>
      <c r="L274" s="599"/>
      <c r="M274" s="599"/>
      <c r="N274" s="599"/>
      <c r="O274" s="599"/>
      <c r="P274" s="599"/>
      <c r="Q274" s="599"/>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640" t="s">
        <v>2</v>
      </c>
      <c r="C276" s="594" t="s">
        <v>0</v>
      </c>
      <c r="D276" s="583">
        <v>1</v>
      </c>
      <c r="E276" s="583" t="s">
        <v>1</v>
      </c>
      <c r="F276" s="584">
        <v>6</v>
      </c>
      <c r="G276" s="583" t="s">
        <v>1</v>
      </c>
      <c r="H276" s="584">
        <v>2.0499999999999998</v>
      </c>
      <c r="I276" s="583" t="s">
        <v>1</v>
      </c>
      <c r="J276" s="31">
        <v>3.3</v>
      </c>
      <c r="K276" s="32" t="s">
        <v>14</v>
      </c>
      <c r="L276" s="31">
        <v>4.5</v>
      </c>
      <c r="M276" s="20"/>
      <c r="N276" s="7"/>
      <c r="O276" s="594" t="s">
        <v>0</v>
      </c>
      <c r="P276" s="644">
        <f>((D276*F276*H276*(J276+L276)/2))</f>
        <v>47.969999999999992</v>
      </c>
      <c r="Q276" s="583" t="s">
        <v>7</v>
      </c>
    </row>
    <row r="277" spans="1:20">
      <c r="B277" s="640"/>
      <c r="C277" s="594"/>
      <c r="D277" s="583"/>
      <c r="E277" s="583"/>
      <c r="F277" s="584"/>
      <c r="G277" s="583"/>
      <c r="H277" s="584"/>
      <c r="I277" s="583"/>
      <c r="J277" s="7"/>
      <c r="K277" s="29">
        <v>2</v>
      </c>
      <c r="L277" s="20"/>
      <c r="M277" s="20"/>
      <c r="N277" s="7"/>
      <c r="O277" s="594"/>
      <c r="P277" s="644"/>
      <c r="Q277" s="583"/>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577" t="s">
        <v>9</v>
      </c>
      <c r="K282" s="577"/>
      <c r="L282" s="582">
        <v>56</v>
      </c>
      <c r="M282" s="582"/>
      <c r="N282" s="597" t="s">
        <v>10</v>
      </c>
      <c r="O282" s="598"/>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599" t="s">
        <v>33</v>
      </c>
      <c r="C286" s="599"/>
      <c r="D286" s="599"/>
      <c r="E286" s="599"/>
      <c r="F286" s="599"/>
      <c r="G286" s="599"/>
      <c r="H286" s="599"/>
      <c r="I286" s="599"/>
      <c r="J286" s="599"/>
      <c r="K286" s="599"/>
      <c r="L286" s="599"/>
      <c r="M286" s="599"/>
      <c r="N286" s="599"/>
      <c r="O286" s="599"/>
      <c r="P286" s="599"/>
      <c r="Q286" s="599"/>
    </row>
    <row r="287" spans="1:20">
      <c r="B287" s="5"/>
      <c r="C287" s="29"/>
      <c r="D287" s="20"/>
      <c r="E287" s="20"/>
      <c r="F287" s="7"/>
      <c r="G287" s="20"/>
      <c r="H287" s="7"/>
      <c r="I287" s="20"/>
      <c r="J287" s="7"/>
      <c r="K287" s="20"/>
      <c r="L287" s="20"/>
      <c r="M287" s="20"/>
      <c r="N287" s="20"/>
      <c r="O287" s="29"/>
      <c r="P287" s="2"/>
    </row>
    <row r="288" spans="1:20">
      <c r="B288" s="590" t="s">
        <v>5</v>
      </c>
      <c r="C288" s="591" t="s">
        <v>0</v>
      </c>
      <c r="D288" s="592">
        <v>1</v>
      </c>
      <c r="E288" s="592" t="s">
        <v>1</v>
      </c>
      <c r="F288" s="147">
        <v>7.86</v>
      </c>
      <c r="G288" s="148" t="s">
        <v>14</v>
      </c>
      <c r="H288" s="147">
        <v>7.74</v>
      </c>
      <c r="I288" s="592" t="s">
        <v>1</v>
      </c>
      <c r="J288" s="607">
        <v>1.8</v>
      </c>
      <c r="K288" s="592" t="s">
        <v>1</v>
      </c>
      <c r="L288" s="607">
        <v>0.25</v>
      </c>
      <c r="M288" s="33"/>
      <c r="N288" s="34"/>
      <c r="O288" s="628" t="s">
        <v>0</v>
      </c>
      <c r="P288" s="630">
        <f>ROUND((L288*J288*D288)*(F288+H288)/2,2)</f>
        <v>3.51</v>
      </c>
      <c r="Q288" s="639" t="s">
        <v>7</v>
      </c>
    </row>
    <row r="289" spans="1:20">
      <c r="B289" s="590"/>
      <c r="C289" s="591"/>
      <c r="D289" s="592"/>
      <c r="E289" s="592"/>
      <c r="F289" s="151"/>
      <c r="G289" s="151">
        <v>2</v>
      </c>
      <c r="H289" s="151"/>
      <c r="I289" s="592"/>
      <c r="J289" s="607"/>
      <c r="K289" s="592"/>
      <c r="L289" s="607"/>
      <c r="O289" s="628"/>
      <c r="P289" s="630"/>
      <c r="Q289" s="639"/>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577" t="s">
        <v>9</v>
      </c>
      <c r="K293" s="577"/>
      <c r="L293" s="582">
        <v>705</v>
      </c>
      <c r="M293" s="582"/>
      <c r="N293" s="597" t="s">
        <v>10</v>
      </c>
      <c r="O293" s="598"/>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627" t="s">
        <v>34</v>
      </c>
      <c r="C297" s="627"/>
      <c r="D297" s="627"/>
      <c r="E297" s="627"/>
      <c r="F297" s="627"/>
      <c r="G297" s="627"/>
      <c r="H297" s="627"/>
      <c r="I297" s="627"/>
      <c r="J297" s="627"/>
      <c r="K297" s="627"/>
      <c r="L297" s="627"/>
      <c r="M297" s="627"/>
      <c r="N297" s="627"/>
      <c r="O297" s="627"/>
      <c r="P297" s="627"/>
      <c r="Q297" s="627"/>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582" t="s">
        <v>21</v>
      </c>
      <c r="H302" s="581"/>
      <c r="I302" s="582">
        <v>3133</v>
      </c>
      <c r="J302" s="582"/>
      <c r="K302" s="582"/>
      <c r="L302" s="597" t="s">
        <v>10</v>
      </c>
      <c r="M302" s="598"/>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641" t="s">
        <v>29</v>
      </c>
      <c r="Q305" s="641"/>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586" t="s">
        <v>25</v>
      </c>
      <c r="Q314" s="586"/>
      <c r="R314" s="50" t="s">
        <v>0</v>
      </c>
      <c r="S314" s="49" t="s">
        <v>11</v>
      </c>
      <c r="T314" s="28">
        <f>$T$305</f>
        <v>18486</v>
      </c>
    </row>
    <row r="315" spans="1:20" ht="38.25">
      <c r="A315" s="95" t="s">
        <v>282</v>
      </c>
      <c r="B315" s="599" t="s">
        <v>35</v>
      </c>
      <c r="C315" s="599"/>
      <c r="D315" s="599"/>
      <c r="E315" s="599"/>
      <c r="F315" s="599"/>
      <c r="G315" s="599"/>
      <c r="H315" s="599"/>
      <c r="I315" s="599"/>
      <c r="J315" s="599"/>
      <c r="K315" s="599"/>
      <c r="L315" s="599"/>
      <c r="M315" s="599"/>
      <c r="N315" s="599"/>
      <c r="O315" s="599"/>
      <c r="P315" s="599"/>
      <c r="Q315" s="599"/>
    </row>
    <row r="316" spans="1:20">
      <c r="B316" s="640" t="s">
        <v>3</v>
      </c>
      <c r="C316" s="594" t="s">
        <v>0</v>
      </c>
      <c r="D316" s="583">
        <v>1</v>
      </c>
      <c r="E316" s="583" t="s">
        <v>1</v>
      </c>
      <c r="F316" s="584">
        <v>3</v>
      </c>
      <c r="G316" s="583" t="s">
        <v>1</v>
      </c>
      <c r="H316" s="31">
        <v>0.6</v>
      </c>
      <c r="I316" s="32" t="s">
        <v>14</v>
      </c>
      <c r="J316" s="31">
        <v>1.3</v>
      </c>
      <c r="K316" s="583" t="s">
        <v>1</v>
      </c>
      <c r="L316" s="584">
        <v>2.8</v>
      </c>
      <c r="M316" s="38"/>
      <c r="N316" s="40"/>
      <c r="O316" s="594" t="s">
        <v>0</v>
      </c>
      <c r="P316" s="587">
        <f>(L316*F316*D316*(H316+J316)/2)</f>
        <v>7.9799999999999986</v>
      </c>
      <c r="Q316" s="606" t="s">
        <v>7</v>
      </c>
    </row>
    <row r="317" spans="1:20">
      <c r="B317" s="640"/>
      <c r="C317" s="594"/>
      <c r="D317" s="583"/>
      <c r="E317" s="583"/>
      <c r="F317" s="584"/>
      <c r="G317" s="583"/>
      <c r="H317" s="7"/>
      <c r="I317" s="29">
        <v>2</v>
      </c>
      <c r="J317" s="7"/>
      <c r="K317" s="583"/>
      <c r="L317" s="584"/>
      <c r="M317" s="38"/>
      <c r="N317" s="38"/>
      <c r="O317" s="594"/>
      <c r="P317" s="587"/>
      <c r="Q317" s="606"/>
    </row>
    <row r="318" spans="1:20">
      <c r="B318" s="640" t="s">
        <v>2</v>
      </c>
      <c r="C318" s="594" t="s">
        <v>0</v>
      </c>
      <c r="D318" s="583">
        <v>1</v>
      </c>
      <c r="E318" s="583" t="s">
        <v>1</v>
      </c>
      <c r="F318" s="584">
        <v>6</v>
      </c>
      <c r="G318" s="583" t="s">
        <v>1</v>
      </c>
      <c r="H318" s="31">
        <v>0.6</v>
      </c>
      <c r="I318" s="32" t="s">
        <v>14</v>
      </c>
      <c r="J318" s="31">
        <v>1.73</v>
      </c>
      <c r="K318" s="583" t="s">
        <v>1</v>
      </c>
      <c r="L318" s="584">
        <v>4.5</v>
      </c>
      <c r="M318" s="38"/>
      <c r="N318" s="40"/>
      <c r="O318" s="594" t="s">
        <v>0</v>
      </c>
      <c r="P318" s="587">
        <f>(L318*F318*D318*(H318+J318)/2)</f>
        <v>31.455000000000002</v>
      </c>
      <c r="Q318" s="606" t="s">
        <v>7</v>
      </c>
    </row>
    <row r="319" spans="1:20">
      <c r="B319" s="640"/>
      <c r="C319" s="594"/>
      <c r="D319" s="583"/>
      <c r="E319" s="583"/>
      <c r="F319" s="584"/>
      <c r="G319" s="583"/>
      <c r="H319" s="7"/>
      <c r="I319" s="29">
        <v>2</v>
      </c>
      <c r="J319" s="7"/>
      <c r="K319" s="583"/>
      <c r="L319" s="584"/>
      <c r="M319" s="38"/>
      <c r="N319" s="38"/>
      <c r="O319" s="594"/>
      <c r="P319" s="587"/>
      <c r="Q319" s="606"/>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638" t="s">
        <v>12</v>
      </c>
      <c r="C330" s="594" t="s">
        <v>0</v>
      </c>
      <c r="D330" s="583">
        <v>2</v>
      </c>
      <c r="E330" s="583" t="s">
        <v>1</v>
      </c>
      <c r="F330" s="45">
        <v>1.05</v>
      </c>
      <c r="G330" s="46" t="s">
        <v>14</v>
      </c>
      <c r="H330" s="31">
        <v>0.75</v>
      </c>
      <c r="I330" s="583" t="s">
        <v>1</v>
      </c>
      <c r="J330" s="31">
        <v>3.14</v>
      </c>
      <c r="K330" s="583" t="s">
        <v>1</v>
      </c>
      <c r="L330" s="584">
        <v>1.2</v>
      </c>
      <c r="M330" s="632" t="s">
        <v>1</v>
      </c>
      <c r="N330" s="634">
        <v>1.2</v>
      </c>
      <c r="O330" s="628" t="s">
        <v>0</v>
      </c>
      <c r="P330" s="636">
        <f>((N330*L330*D330*(J330/J331)*(F330+H330)/G331))</f>
        <v>2.0347200000000001</v>
      </c>
      <c r="Q330" s="639" t="s">
        <v>7</v>
      </c>
    </row>
    <row r="331" spans="1:20">
      <c r="B331" s="589"/>
      <c r="C331" s="583"/>
      <c r="D331" s="583"/>
      <c r="E331" s="583"/>
      <c r="F331" s="38"/>
      <c r="G331" s="38">
        <v>2</v>
      </c>
      <c r="H331" s="20"/>
      <c r="I331" s="583"/>
      <c r="J331" s="20">
        <v>4</v>
      </c>
      <c r="K331" s="583"/>
      <c r="L331" s="584"/>
      <c r="M331" s="633"/>
      <c r="N331" s="635"/>
      <c r="O331" s="629"/>
      <c r="P331" s="637"/>
      <c r="Q331" s="637"/>
    </row>
    <row r="332" spans="1:20" ht="14.25">
      <c r="C332" s="1"/>
      <c r="F332" s="2"/>
      <c r="H332" s="2"/>
      <c r="I332" s="1"/>
      <c r="J332" s="2"/>
      <c r="L332" t="s">
        <v>68</v>
      </c>
      <c r="N332" s="7"/>
      <c r="O332" s="1" t="s">
        <v>0</v>
      </c>
      <c r="P332" s="2">
        <f>P329-P330</f>
        <v>49.949655</v>
      </c>
      <c r="Q332" t="s">
        <v>7</v>
      </c>
    </row>
    <row r="333" spans="1:20" ht="14.25">
      <c r="C333" s="1"/>
      <c r="F333" s="2"/>
      <c r="I333" s="8"/>
      <c r="J333" s="577" t="s">
        <v>9</v>
      </c>
      <c r="K333" s="577"/>
      <c r="L333" s="582">
        <v>2334</v>
      </c>
      <c r="M333" s="582"/>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627" t="s">
        <v>36</v>
      </c>
      <c r="C336" s="627"/>
      <c r="D336" s="627"/>
      <c r="E336" s="627"/>
      <c r="F336" s="627"/>
      <c r="G336" s="627"/>
      <c r="H336" s="627"/>
      <c r="I336" s="627"/>
      <c r="J336" s="627"/>
      <c r="K336" s="627"/>
      <c r="L336" s="627"/>
      <c r="M336" s="627"/>
      <c r="N336" s="627"/>
      <c r="O336" s="627"/>
      <c r="P336" s="627"/>
      <c r="Q336" s="627"/>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577" t="s">
        <v>9</v>
      </c>
      <c r="K340" s="577"/>
      <c r="L340" s="579">
        <v>9264</v>
      </c>
      <c r="M340" s="579"/>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627" t="s">
        <v>37</v>
      </c>
      <c r="C343" s="627"/>
      <c r="D343" s="627"/>
      <c r="E343" s="627"/>
      <c r="F343" s="627"/>
      <c r="G343" s="627"/>
      <c r="H343" s="627"/>
      <c r="I343" s="627"/>
      <c r="J343" s="627"/>
      <c r="K343" s="627"/>
      <c r="L343" s="627"/>
      <c r="M343" s="627"/>
      <c r="N343" s="627"/>
      <c r="O343" s="627"/>
      <c r="P343" s="627"/>
      <c r="Q343" s="627"/>
    </row>
    <row r="344" spans="1:20" ht="15.75" customHeight="1">
      <c r="A344" s="54"/>
      <c r="B344" s="617" t="s">
        <v>38</v>
      </c>
      <c r="C344" s="617"/>
      <c r="D344" s="617"/>
      <c r="E344" s="617"/>
      <c r="F344" s="617"/>
      <c r="G344" s="617"/>
      <c r="H344" s="617"/>
      <c r="I344" s="617"/>
      <c r="J344" s="617"/>
      <c r="K344" s="617"/>
      <c r="L344" s="617"/>
      <c r="M344" s="617"/>
      <c r="N344" s="617"/>
      <c r="O344" s="617"/>
      <c r="P344" s="617"/>
      <c r="Q344" s="617"/>
    </row>
    <row r="345" spans="1:20">
      <c r="A345" s="4"/>
    </row>
    <row r="346" spans="1:20">
      <c r="B346" s="623" t="s">
        <v>66</v>
      </c>
      <c r="C346" s="594" t="s">
        <v>0</v>
      </c>
      <c r="D346" s="583">
        <v>1</v>
      </c>
      <c r="E346" s="583" t="s">
        <v>1</v>
      </c>
      <c r="F346" s="584">
        <v>3</v>
      </c>
      <c r="G346" s="583" t="s">
        <v>1</v>
      </c>
      <c r="H346" s="31">
        <v>0.15</v>
      </c>
      <c r="I346" s="32" t="s">
        <v>14</v>
      </c>
      <c r="J346" s="31">
        <v>0.32</v>
      </c>
      <c r="K346" s="583" t="s">
        <v>1</v>
      </c>
      <c r="L346" s="584">
        <v>0.68</v>
      </c>
      <c r="M346" s="38"/>
      <c r="N346" s="40"/>
      <c r="O346" s="594" t="s">
        <v>0</v>
      </c>
      <c r="P346" s="587">
        <f>(L346*F346*D346*(H346+J346)/2)</f>
        <v>0.47939999999999999</v>
      </c>
      <c r="Q346" s="606" t="s">
        <v>7</v>
      </c>
    </row>
    <row r="347" spans="1:20">
      <c r="B347" s="624"/>
      <c r="C347" s="594"/>
      <c r="D347" s="583"/>
      <c r="E347" s="583"/>
      <c r="F347" s="584"/>
      <c r="G347" s="583"/>
      <c r="H347" s="7"/>
      <c r="I347" s="29">
        <v>2</v>
      </c>
      <c r="J347" s="7"/>
      <c r="K347" s="583"/>
      <c r="L347" s="584"/>
      <c r="M347" s="38"/>
      <c r="N347" s="38"/>
      <c r="O347" s="594"/>
      <c r="P347" s="587"/>
      <c r="Q347" s="606"/>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623" t="s">
        <v>67</v>
      </c>
      <c r="C350" s="594" t="s">
        <v>0</v>
      </c>
      <c r="D350" s="583">
        <v>1</v>
      </c>
      <c r="E350" s="583" t="s">
        <v>1</v>
      </c>
      <c r="F350" s="584">
        <v>6</v>
      </c>
      <c r="G350" s="583" t="s">
        <v>1</v>
      </c>
      <c r="H350" s="31">
        <v>0.15</v>
      </c>
      <c r="I350" s="32" t="s">
        <v>14</v>
      </c>
      <c r="J350" s="31">
        <v>0.75</v>
      </c>
      <c r="K350" s="583" t="s">
        <v>1</v>
      </c>
      <c r="L350" s="584">
        <v>2.37</v>
      </c>
      <c r="M350" s="39"/>
      <c r="N350" s="37"/>
      <c r="O350" s="628" t="s">
        <v>0</v>
      </c>
      <c r="P350" s="630">
        <f>(L350*F350*D350*(H350+J350)/2)</f>
        <v>6.399</v>
      </c>
      <c r="Q350" s="625" t="s">
        <v>7</v>
      </c>
      <c r="R350" s="18"/>
    </row>
    <row r="351" spans="1:20">
      <c r="B351" s="624"/>
      <c r="C351" s="594"/>
      <c r="D351" s="583"/>
      <c r="E351" s="583"/>
      <c r="F351" s="584"/>
      <c r="G351" s="583"/>
      <c r="H351" s="7"/>
      <c r="I351" s="29">
        <v>2</v>
      </c>
      <c r="J351" s="7"/>
      <c r="K351" s="583"/>
      <c r="L351" s="584"/>
      <c r="M351" s="39"/>
      <c r="N351" s="39"/>
      <c r="O351" s="628"/>
      <c r="P351" s="630"/>
      <c r="Q351" s="625"/>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579" t="s">
        <v>76</v>
      </c>
      <c r="M353" s="579"/>
      <c r="N353" s="579"/>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585" t="s">
        <v>24</v>
      </c>
      <c r="Q354" s="585"/>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586" t="s">
        <v>25</v>
      </c>
      <c r="Q360" s="586"/>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579" t="s">
        <v>77</v>
      </c>
      <c r="M362" s="579"/>
      <c r="N362" s="579"/>
      <c r="O362" s="1" t="s">
        <v>0</v>
      </c>
      <c r="P362" s="68">
        <f>$P$353</f>
        <v>18.353399999999997</v>
      </c>
      <c r="Q362" t="s">
        <v>7</v>
      </c>
      <c r="R362" s="50"/>
      <c r="S362" s="49"/>
      <c r="T362" s="26"/>
    </row>
    <row r="363" spans="2:20">
      <c r="B363" s="589" t="s">
        <v>48</v>
      </c>
      <c r="C363" s="589"/>
      <c r="D363" s="589"/>
      <c r="E363" s="589"/>
      <c r="F363" s="589"/>
      <c r="G363" s="589"/>
      <c r="H363" s="589"/>
      <c r="I363" s="20"/>
      <c r="J363" s="44"/>
      <c r="K363" s="20"/>
      <c r="L363" s="20"/>
      <c r="M363" s="20"/>
      <c r="N363" s="7"/>
      <c r="O363" s="1"/>
      <c r="P363" s="2"/>
      <c r="T363" s="11"/>
    </row>
    <row r="364" spans="2:20">
      <c r="B364" s="41"/>
      <c r="C364" s="594" t="s">
        <v>0</v>
      </c>
      <c r="D364" s="583">
        <v>2</v>
      </c>
      <c r="E364" s="583" t="s">
        <v>1</v>
      </c>
      <c r="F364" s="31">
        <v>3.14</v>
      </c>
      <c r="G364" s="583" t="s">
        <v>1</v>
      </c>
      <c r="H364" s="584">
        <v>1.2</v>
      </c>
      <c r="I364" s="583" t="s">
        <v>1</v>
      </c>
      <c r="J364" s="584">
        <v>1.2</v>
      </c>
      <c r="K364" s="583" t="s">
        <v>1</v>
      </c>
      <c r="L364" s="584">
        <v>0.6</v>
      </c>
      <c r="M364" s="33"/>
      <c r="N364" s="34"/>
      <c r="O364" s="628" t="s">
        <v>0</v>
      </c>
      <c r="P364" s="630">
        <f>ROUND((L364*J364*H364*D364)*(F364)/4,2)</f>
        <v>1.36</v>
      </c>
      <c r="Q364" s="625" t="s">
        <v>7</v>
      </c>
      <c r="T364" s="11"/>
    </row>
    <row r="365" spans="2:20">
      <c r="B365" s="41"/>
      <c r="C365" s="594"/>
      <c r="D365" s="583"/>
      <c r="E365" s="583"/>
      <c r="F365" s="36">
        <v>4</v>
      </c>
      <c r="G365" s="583"/>
      <c r="H365" s="584"/>
      <c r="I365" s="583"/>
      <c r="J365" s="584"/>
      <c r="K365" s="583"/>
      <c r="L365" s="584"/>
      <c r="M365" s="30"/>
      <c r="N365" s="31"/>
      <c r="O365" s="629"/>
      <c r="P365" s="631"/>
      <c r="Q365" s="626"/>
      <c r="T365" s="11"/>
    </row>
    <row r="366" spans="2:20" ht="14.25">
      <c r="L366" t="s">
        <v>49</v>
      </c>
      <c r="N366" s="7"/>
      <c r="O366" s="1" t="s">
        <v>0</v>
      </c>
      <c r="P366" s="2">
        <f>P353-P364</f>
        <v>16.993399999999998</v>
      </c>
      <c r="Q366" t="s">
        <v>7</v>
      </c>
    </row>
    <row r="367" spans="2:20" ht="14.25">
      <c r="I367" s="8"/>
      <c r="J367" s="577" t="s">
        <v>9</v>
      </c>
      <c r="K367" s="577"/>
      <c r="L367" s="582">
        <v>358</v>
      </c>
      <c r="M367" s="582"/>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627" t="s">
        <v>39</v>
      </c>
      <c r="C371" s="627"/>
      <c r="D371" s="627"/>
      <c r="E371" s="627"/>
      <c r="F371" s="627"/>
      <c r="G371" s="627"/>
      <c r="H371" s="627"/>
      <c r="I371" s="627"/>
      <c r="J371" s="627"/>
      <c r="K371" s="627"/>
      <c r="L371" s="627"/>
      <c r="M371" s="627"/>
      <c r="N371" s="627"/>
      <c r="O371" s="627"/>
      <c r="P371" s="627"/>
      <c r="Q371" s="627"/>
    </row>
    <row r="372" spans="1:20">
      <c r="B372" s="623" t="s">
        <v>66</v>
      </c>
      <c r="C372" s="594" t="s">
        <v>0</v>
      </c>
      <c r="D372" s="583">
        <v>2</v>
      </c>
      <c r="E372" s="583" t="s">
        <v>1</v>
      </c>
      <c r="F372" s="584">
        <v>1.2</v>
      </c>
      <c r="G372" s="583" t="s">
        <v>1</v>
      </c>
      <c r="H372" s="31">
        <v>0</v>
      </c>
      <c r="I372" s="32" t="s">
        <v>14</v>
      </c>
      <c r="J372" s="31">
        <v>0.25</v>
      </c>
      <c r="K372" s="583" t="s">
        <v>1</v>
      </c>
      <c r="L372" s="593">
        <v>2.125</v>
      </c>
      <c r="M372" s="38"/>
      <c r="N372" s="40"/>
      <c r="O372" s="594" t="s">
        <v>0</v>
      </c>
      <c r="P372" s="587">
        <f>(L372*F372*D372*(H372+J372)/2)</f>
        <v>0.63749999999999996</v>
      </c>
      <c r="Q372" s="606" t="s">
        <v>7</v>
      </c>
    </row>
    <row r="373" spans="1:20">
      <c r="B373" s="624"/>
      <c r="C373" s="594"/>
      <c r="D373" s="583"/>
      <c r="E373" s="583"/>
      <c r="F373" s="584"/>
      <c r="G373" s="583"/>
      <c r="H373" s="7"/>
      <c r="I373" s="29">
        <v>2</v>
      </c>
      <c r="J373" s="7"/>
      <c r="K373" s="583"/>
      <c r="L373" s="593"/>
      <c r="M373" s="38"/>
      <c r="N373" s="38"/>
      <c r="O373" s="594"/>
      <c r="P373" s="587"/>
      <c r="Q373" s="606"/>
    </row>
    <row r="374" spans="1:20">
      <c r="B374" s="623" t="s">
        <v>67</v>
      </c>
      <c r="C374" s="594" t="s">
        <v>0</v>
      </c>
      <c r="D374" s="583">
        <v>2</v>
      </c>
      <c r="E374" s="583" t="s">
        <v>1</v>
      </c>
      <c r="F374" s="584">
        <v>2.1</v>
      </c>
      <c r="G374" s="583" t="s">
        <v>1</v>
      </c>
      <c r="H374" s="31">
        <v>0.15</v>
      </c>
      <c r="I374" s="32" t="s">
        <v>14</v>
      </c>
      <c r="J374" s="31">
        <v>0.53</v>
      </c>
      <c r="K374" s="583" t="s">
        <v>1</v>
      </c>
      <c r="L374" s="593">
        <v>2.125</v>
      </c>
      <c r="M374" s="38"/>
      <c r="N374" s="40"/>
      <c r="O374" s="594" t="s">
        <v>0</v>
      </c>
      <c r="P374" s="587">
        <f>(L374*F374*D374*(H374+J374)/2)</f>
        <v>3.0345000000000004</v>
      </c>
      <c r="Q374" s="606" t="s">
        <v>7</v>
      </c>
    </row>
    <row r="375" spans="1:20">
      <c r="B375" s="624"/>
      <c r="C375" s="594"/>
      <c r="D375" s="583"/>
      <c r="E375" s="583"/>
      <c r="F375" s="584"/>
      <c r="G375" s="583"/>
      <c r="H375" s="7"/>
      <c r="I375" s="29">
        <v>2</v>
      </c>
      <c r="J375" s="7"/>
      <c r="K375" s="583"/>
      <c r="L375" s="593"/>
      <c r="M375" s="38"/>
      <c r="N375" s="38"/>
      <c r="O375" s="594"/>
      <c r="P375" s="587"/>
      <c r="Q375" s="606"/>
    </row>
    <row r="376" spans="1:20" ht="14.25">
      <c r="B376" s="590" t="s">
        <v>27</v>
      </c>
      <c r="C376" s="591" t="s">
        <v>0</v>
      </c>
      <c r="D376" s="592">
        <v>1</v>
      </c>
      <c r="E376" s="592" t="s">
        <v>1</v>
      </c>
      <c r="F376" s="147">
        <v>7.3</v>
      </c>
      <c r="G376" s="148" t="s">
        <v>14</v>
      </c>
      <c r="H376" s="147">
        <v>7.6</v>
      </c>
      <c r="I376" s="592" t="s">
        <v>1</v>
      </c>
      <c r="J376" s="607">
        <v>1.8</v>
      </c>
      <c r="K376" s="592" t="s">
        <v>1</v>
      </c>
      <c r="L376" s="607">
        <v>0.6</v>
      </c>
      <c r="M376" s="33"/>
      <c r="N376" s="34"/>
      <c r="O376" s="35" t="s">
        <v>0</v>
      </c>
      <c r="P376" s="19">
        <f>ROUND((L376*J376*D376)*(F376+H376)/2,2)</f>
        <v>8.0500000000000007</v>
      </c>
      <c r="Q376" s="18" t="s">
        <v>7</v>
      </c>
    </row>
    <row r="377" spans="1:20">
      <c r="B377" s="590"/>
      <c r="C377" s="591"/>
      <c r="D377" s="592"/>
      <c r="E377" s="592"/>
      <c r="F377" s="149"/>
      <c r="G377" s="150">
        <v>2</v>
      </c>
      <c r="H377" s="149"/>
      <c r="I377" s="592"/>
      <c r="J377" s="607"/>
      <c r="K377" s="592"/>
      <c r="L377" s="607"/>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577" t="s">
        <v>9</v>
      </c>
      <c r="K379" s="577"/>
      <c r="L379" s="582">
        <v>116</v>
      </c>
      <c r="M379" s="582"/>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617" t="s">
        <v>40</v>
      </c>
      <c r="C383" s="617"/>
      <c r="D383" s="617"/>
      <c r="E383" s="617"/>
      <c r="F383" s="617"/>
      <c r="G383" s="617"/>
      <c r="H383" s="617"/>
      <c r="I383" s="617"/>
      <c r="J383" s="617"/>
      <c r="K383" s="617"/>
      <c r="L383" s="617"/>
      <c r="M383" s="617"/>
      <c r="N383" s="617"/>
      <c r="O383" s="617"/>
      <c r="P383" s="617"/>
      <c r="Q383" s="617"/>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652" t="s">
        <v>332</v>
      </c>
      <c r="K400" s="652"/>
      <c r="L400" s="618">
        <v>76</v>
      </c>
      <c r="M400" s="618"/>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585" t="s">
        <v>24</v>
      </c>
      <c r="Q403" s="585"/>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586" t="s">
        <v>25</v>
      </c>
      <c r="Q410" s="586"/>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615" t="s">
        <v>78</v>
      </c>
      <c r="C412" s="615"/>
      <c r="D412" s="615"/>
      <c r="E412" s="615"/>
      <c r="F412" s="615"/>
      <c r="G412" s="615"/>
      <c r="H412" s="615"/>
      <c r="I412" s="615"/>
      <c r="J412" s="615"/>
      <c r="K412" s="615"/>
      <c r="L412" s="615"/>
      <c r="M412" s="615"/>
      <c r="N412" s="615"/>
      <c r="O412" s="615"/>
      <c r="P412" s="615"/>
      <c r="Q412" s="615"/>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578">
        <f>P292*1</f>
        <v>6.18</v>
      </c>
      <c r="I414" s="578"/>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578">
        <f>P301*1</f>
        <v>2.77</v>
      </c>
      <c r="I415" s="578"/>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578">
        <f>P332*1</f>
        <v>49.949655</v>
      </c>
      <c r="I416" s="578"/>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578">
        <f>P366*1</f>
        <v>16.993399999999998</v>
      </c>
      <c r="I417" s="578"/>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588" t="s">
        <v>8</v>
      </c>
      <c r="N418" s="588"/>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578">
        <f>P301*1</f>
        <v>2.77</v>
      </c>
      <c r="I421" s="578"/>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578">
        <f>P332*1</f>
        <v>49.949655</v>
      </c>
      <c r="I422" s="578"/>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578">
        <f>P399*1</f>
        <v>43.035000000000004</v>
      </c>
      <c r="I423" s="578"/>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588" t="s">
        <v>8</v>
      </c>
      <c r="N424" s="588"/>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619">
        <f>P418*1</f>
        <v>88.1</v>
      </c>
      <c r="L427" s="620"/>
      <c r="M427" s="600" t="s">
        <v>57</v>
      </c>
      <c r="N427" s="600"/>
      <c r="O427" s="51"/>
      <c r="P427" s="18"/>
      <c r="Q427" s="56"/>
      <c r="R427" s="51"/>
      <c r="S427" s="51"/>
    </row>
    <row r="428" spans="1:20" ht="14.25">
      <c r="B428" s="61" t="s">
        <v>44</v>
      </c>
      <c r="C428" s="61"/>
      <c r="D428" s="61"/>
      <c r="E428" s="61"/>
      <c r="F428" s="61"/>
      <c r="G428" s="61"/>
      <c r="H428" s="63"/>
      <c r="I428" s="63"/>
      <c r="J428" s="63"/>
      <c r="K428" s="621">
        <f>P424*1</f>
        <v>19.38</v>
      </c>
      <c r="L428" s="621"/>
      <c r="M428" s="622" t="s">
        <v>57</v>
      </c>
      <c r="N428" s="622"/>
      <c r="O428" s="51"/>
      <c r="P428" s="18"/>
      <c r="Q428" s="56"/>
      <c r="R428" s="51"/>
      <c r="S428" s="51"/>
    </row>
    <row r="429" spans="1:20" ht="14.25">
      <c r="B429" s="61"/>
      <c r="C429" s="61"/>
      <c r="D429" s="61"/>
      <c r="E429" s="61"/>
      <c r="F429" s="61"/>
      <c r="G429" s="61"/>
      <c r="H429" s="18" t="s">
        <v>334</v>
      </c>
      <c r="I429" s="61"/>
      <c r="J429" s="61"/>
      <c r="K429" s="608">
        <f>K427+K428</f>
        <v>107.47999999999999</v>
      </c>
      <c r="L429" s="609"/>
      <c r="M429" s="600" t="s">
        <v>57</v>
      </c>
      <c r="N429" s="600"/>
      <c r="O429" s="51"/>
      <c r="P429" s="18"/>
      <c r="Q429" s="56"/>
      <c r="R429" s="51"/>
      <c r="S429" s="51"/>
    </row>
    <row r="430" spans="1:20" ht="14.25">
      <c r="B430" s="56"/>
      <c r="C430" s="56"/>
      <c r="D430" s="56"/>
      <c r="E430" s="56"/>
      <c r="F430" s="56"/>
      <c r="G430" s="56"/>
      <c r="H430" s="56"/>
      <c r="I430" s="56"/>
      <c r="J430" s="577" t="s">
        <v>9</v>
      </c>
      <c r="K430" s="577"/>
      <c r="L430" s="582">
        <v>95</v>
      </c>
      <c r="M430" s="582"/>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598" t="s">
        <v>52</v>
      </c>
      <c r="D435" s="598"/>
      <c r="E435" s="598"/>
      <c r="F435" s="598"/>
      <c r="G435" s="598"/>
      <c r="H435" s="598"/>
      <c r="I435" s="598"/>
      <c r="J435" s="598"/>
      <c r="K435" s="598"/>
    </row>
    <row r="436" spans="1:20">
      <c r="C436" t="s">
        <v>53</v>
      </c>
      <c r="L436" s="17"/>
      <c r="M436" s="17"/>
      <c r="N436" s="17"/>
      <c r="O436" s="9"/>
      <c r="P436" s="10"/>
      <c r="T436" s="11"/>
    </row>
    <row r="437" spans="1:20" ht="14.25">
      <c r="C437" t="s">
        <v>56</v>
      </c>
      <c r="F437" s="22"/>
      <c r="I437" s="24"/>
      <c r="J437" s="24"/>
      <c r="K437" s="47"/>
      <c r="L437" s="17"/>
      <c r="M437" s="60" t="s">
        <v>0</v>
      </c>
      <c r="N437" s="582">
        <f>K427*1</f>
        <v>88.1</v>
      </c>
      <c r="O437" s="582"/>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579">
        <f>N437*1</f>
        <v>88.1</v>
      </c>
      <c r="F439" s="579"/>
      <c r="G439" t="s">
        <v>1</v>
      </c>
      <c r="H439" s="7">
        <v>2.4</v>
      </c>
      <c r="I439" t="s">
        <v>1</v>
      </c>
      <c r="J439" s="2">
        <v>10</v>
      </c>
      <c r="L439" s="17"/>
      <c r="M439" s="60" t="s">
        <v>0</v>
      </c>
      <c r="N439" s="579">
        <f>ROUND(E439*H439*J439,2)</f>
        <v>2114.4</v>
      </c>
      <c r="O439" s="579"/>
      <c r="P439" s="65" t="s">
        <v>58</v>
      </c>
      <c r="Q439" s="58"/>
      <c r="R439" s="50"/>
      <c r="S439" s="49"/>
      <c r="T439" s="26"/>
    </row>
    <row r="440" spans="1:20">
      <c r="J440" s="577" t="s">
        <v>9</v>
      </c>
      <c r="K440" s="577"/>
      <c r="L440" s="582">
        <v>3.6</v>
      </c>
      <c r="M440" s="582"/>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579">
        <f>N437*1</f>
        <v>88.1</v>
      </c>
      <c r="F443" s="579"/>
      <c r="G443" t="s">
        <v>1</v>
      </c>
      <c r="H443" s="7">
        <v>2.4</v>
      </c>
      <c r="I443" t="s">
        <v>1</v>
      </c>
      <c r="J443" s="2">
        <v>1</v>
      </c>
      <c r="L443" s="17"/>
      <c r="M443" s="60" t="s">
        <v>0</v>
      </c>
      <c r="N443" s="579">
        <f>ROUND(E443*H443*J443,2)</f>
        <v>211.44</v>
      </c>
      <c r="O443" s="579"/>
      <c r="P443" s="65" t="s">
        <v>58</v>
      </c>
      <c r="Q443" s="58"/>
      <c r="R443" s="50"/>
      <c r="S443" s="49"/>
      <c r="T443" s="26"/>
    </row>
    <row r="444" spans="1:20">
      <c r="J444" s="577" t="s">
        <v>9</v>
      </c>
      <c r="K444" s="577"/>
      <c r="L444" s="582">
        <v>8.6</v>
      </c>
      <c r="M444" s="582"/>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581" t="s">
        <v>54</v>
      </c>
      <c r="D447" s="581"/>
      <c r="E447" s="581"/>
      <c r="F447" s="581"/>
      <c r="G447" s="581"/>
      <c r="H447" s="581"/>
      <c r="I447" s="581"/>
      <c r="J447" s="581"/>
      <c r="K447" s="581"/>
      <c r="R447" s="16"/>
      <c r="S447" s="16"/>
    </row>
    <row r="448" spans="1:20">
      <c r="C448" t="s">
        <v>55</v>
      </c>
      <c r="R448" s="16"/>
      <c r="S448" s="16"/>
    </row>
    <row r="449" spans="3:20" ht="14.25">
      <c r="C449" t="s">
        <v>61</v>
      </c>
      <c r="F449" s="22"/>
      <c r="I449" s="24"/>
      <c r="J449" s="24"/>
      <c r="K449" s="47"/>
      <c r="L449" s="17"/>
      <c r="M449" s="60" t="s">
        <v>0</v>
      </c>
      <c r="N449" s="582">
        <f>K428*1</f>
        <v>19.38</v>
      </c>
      <c r="O449" s="582"/>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579">
        <f>N449*1</f>
        <v>19.38</v>
      </c>
      <c r="F451" s="579"/>
      <c r="G451" t="s">
        <v>1</v>
      </c>
      <c r="H451" s="7">
        <v>1.84</v>
      </c>
      <c r="I451" t="s">
        <v>1</v>
      </c>
      <c r="J451" s="2">
        <v>14</v>
      </c>
      <c r="L451" s="17"/>
      <c r="M451" s="60" t="s">
        <v>0</v>
      </c>
      <c r="N451" s="579">
        <f>ROUND(E451*H451*J451,2)</f>
        <v>499.23</v>
      </c>
      <c r="O451" s="579"/>
      <c r="P451" s="65" t="s">
        <v>58</v>
      </c>
      <c r="Q451" s="58"/>
      <c r="R451" s="50"/>
      <c r="S451" s="49"/>
      <c r="T451" s="26"/>
    </row>
    <row r="452" spans="3:20">
      <c r="J452" s="577" t="s">
        <v>9</v>
      </c>
      <c r="K452" s="577"/>
      <c r="L452" s="582">
        <v>3.6</v>
      </c>
      <c r="M452" s="582"/>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579">
        <f>N449*1</f>
        <v>19.38</v>
      </c>
      <c r="F455" s="579"/>
      <c r="G455" t="s">
        <v>1</v>
      </c>
      <c r="H455" s="7">
        <v>1.84</v>
      </c>
      <c r="I455" t="s">
        <v>1</v>
      </c>
      <c r="J455" s="2">
        <v>1</v>
      </c>
      <c r="L455" s="17"/>
      <c r="M455" s="60" t="s">
        <v>0</v>
      </c>
      <c r="N455" s="579">
        <f>ROUND(E455*H455*J455,2)</f>
        <v>35.659999999999997</v>
      </c>
      <c r="O455" s="579"/>
      <c r="P455" s="65" t="s">
        <v>58</v>
      </c>
      <c r="Q455" s="58"/>
      <c r="R455" s="50"/>
      <c r="S455" s="49"/>
      <c r="T455" s="26"/>
    </row>
    <row r="456" spans="3:20">
      <c r="J456" s="577" t="s">
        <v>9</v>
      </c>
      <c r="K456" s="577"/>
      <c r="L456" s="582">
        <v>8.6</v>
      </c>
      <c r="M456" s="582"/>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585" t="s">
        <v>24</v>
      </c>
      <c r="Q459" s="585"/>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586" t="s">
        <v>25</v>
      </c>
      <c r="Q467" s="586"/>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582">
        <f>H474*10</f>
        <v>125</v>
      </c>
      <c r="O474" s="582"/>
    </row>
    <row r="475" spans="1:20">
      <c r="B475" t="s">
        <v>169</v>
      </c>
      <c r="H475" s="2">
        <v>4.25</v>
      </c>
      <c r="I475" s="14" t="s">
        <v>20</v>
      </c>
      <c r="J475" s="13"/>
      <c r="K475" s="14" t="s">
        <v>0</v>
      </c>
      <c r="L475" s="13" t="s">
        <v>170</v>
      </c>
      <c r="M475" s="14"/>
      <c r="N475" s="596">
        <f>H475*4</f>
        <v>17</v>
      </c>
      <c r="O475" s="596"/>
    </row>
    <row r="476" spans="1:20">
      <c r="J476" s="20" t="s">
        <v>8</v>
      </c>
      <c r="K476" s="1" t="s">
        <v>0</v>
      </c>
      <c r="L476" t="s">
        <v>170</v>
      </c>
      <c r="M476" s="1"/>
      <c r="N476" s="613">
        <f>SUM(N474:N475)</f>
        <v>142</v>
      </c>
      <c r="O476" s="613"/>
    </row>
    <row r="477" spans="1:20">
      <c r="N477" s="21"/>
      <c r="O477" s="21"/>
    </row>
    <row r="478" spans="1:20">
      <c r="B478" t="s">
        <v>23</v>
      </c>
      <c r="F478" s="582">
        <f>$J$726</f>
        <v>10</v>
      </c>
      <c r="G478" s="601"/>
      <c r="H478" t="s">
        <v>13</v>
      </c>
      <c r="I478" s="48" t="s">
        <v>0</v>
      </c>
      <c r="J478" s="2">
        <f>$F$734</f>
        <v>10</v>
      </c>
      <c r="K478" t="s">
        <v>1</v>
      </c>
      <c r="L478" s="602">
        <v>142</v>
      </c>
      <c r="M478" s="603"/>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582">
        <f>K427*1</f>
        <v>88.1</v>
      </c>
      <c r="K485" s="582"/>
      <c r="L485" s="600" t="s">
        <v>272</v>
      </c>
      <c r="M485" s="600"/>
      <c r="N485" s="18"/>
      <c r="O485" s="18"/>
      <c r="P485" s="18"/>
      <c r="Q485" s="18"/>
      <c r="R485" s="18"/>
      <c r="S485" s="25"/>
      <c r="T485" s="57"/>
    </row>
    <row r="486" spans="1:20" ht="14.25">
      <c r="F486" s="577" t="s">
        <v>332</v>
      </c>
      <c r="G486" s="577"/>
      <c r="H486" s="601">
        <v>121.13</v>
      </c>
      <c r="I486" s="601"/>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582">
        <f>K428*1</f>
        <v>19.38</v>
      </c>
      <c r="K488" s="582"/>
      <c r="L488" s="600" t="s">
        <v>272</v>
      </c>
      <c r="M488" s="600"/>
      <c r="N488" s="18"/>
      <c r="O488" s="18"/>
      <c r="P488" s="18"/>
      <c r="Q488" s="18"/>
      <c r="R488" s="18"/>
      <c r="S488" s="25"/>
      <c r="T488" s="57"/>
    </row>
    <row r="489" spans="1:20" ht="14.25">
      <c r="F489" s="577" t="s">
        <v>332</v>
      </c>
      <c r="G489" s="577"/>
      <c r="H489" s="582">
        <v>35.700000000000003</v>
      </c>
      <c r="I489" s="582"/>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611" t="s">
        <v>26</v>
      </c>
      <c r="Q491" s="611"/>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610" t="s">
        <v>321</v>
      </c>
      <c r="P495" s="610"/>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612" t="s">
        <v>237</v>
      </c>
      <c r="C515" s="612"/>
      <c r="D515" s="612"/>
      <c r="E515" s="612"/>
      <c r="F515" s="612"/>
      <c r="G515" s="612"/>
      <c r="H515" s="612"/>
      <c r="I515" s="612"/>
      <c r="J515" s="612"/>
      <c r="K515" s="612"/>
      <c r="L515" s="612"/>
      <c r="N515" s="612" t="s">
        <v>233</v>
      </c>
      <c r="O515" s="612"/>
      <c r="P515" s="612"/>
      <c r="Q515" s="612"/>
      <c r="R515" s="612"/>
      <c r="S515" s="612"/>
      <c r="T515" s="612"/>
    </row>
    <row r="516" spans="1:20">
      <c r="B516" s="612" t="s">
        <v>235</v>
      </c>
      <c r="C516" s="612"/>
      <c r="D516" s="612"/>
      <c r="E516" s="612"/>
      <c r="F516" s="612"/>
      <c r="G516" s="612"/>
      <c r="H516" s="612"/>
      <c r="I516" s="612"/>
      <c r="J516" s="612"/>
      <c r="K516" s="612"/>
      <c r="L516" s="612"/>
      <c r="N516" s="612" t="s">
        <v>234</v>
      </c>
      <c r="O516" s="612"/>
      <c r="P516" s="612"/>
      <c r="Q516" s="612"/>
      <c r="R516" s="612"/>
      <c r="S516" s="612"/>
      <c r="T516" s="612"/>
    </row>
    <row r="517" spans="1:20">
      <c r="B517" s="612" t="s">
        <v>236</v>
      </c>
      <c r="C517" s="612"/>
      <c r="D517" s="612"/>
      <c r="E517" s="612"/>
      <c r="F517" s="612"/>
      <c r="G517" s="612"/>
      <c r="H517" s="612"/>
      <c r="I517" s="612"/>
      <c r="J517" s="612"/>
      <c r="K517" s="612"/>
      <c r="L517" s="612"/>
      <c r="N517" s="612" t="s">
        <v>232</v>
      </c>
      <c r="O517" s="612"/>
      <c r="P517" s="612"/>
      <c r="Q517" s="612"/>
      <c r="R517" s="612"/>
      <c r="S517" s="612"/>
      <c r="T517" s="612"/>
    </row>
    <row r="523" spans="1:20">
      <c r="P523" s="3" t="s">
        <v>261</v>
      </c>
    </row>
    <row r="524" spans="1:20" ht="15.75" customHeight="1">
      <c r="A524" s="643" t="s">
        <v>255</v>
      </c>
      <c r="B524" s="643"/>
      <c r="C524" s="643"/>
      <c r="D524" s="643"/>
      <c r="E524" s="643"/>
      <c r="F524" s="643"/>
      <c r="G524" s="643"/>
      <c r="H524" s="643"/>
      <c r="I524" s="643"/>
      <c r="J524" s="643"/>
      <c r="K524" s="643"/>
      <c r="L524" s="643"/>
      <c r="M524" s="643"/>
      <c r="N524" s="643"/>
      <c r="O524" s="643"/>
      <c r="P524" s="643"/>
      <c r="Q524" s="643"/>
      <c r="R524" s="643"/>
      <c r="S524" s="643"/>
      <c r="T524" s="643"/>
    </row>
    <row r="525" spans="1:20" ht="15" customHeight="1">
      <c r="A525" s="59"/>
      <c r="B525" s="59"/>
      <c r="C525" s="59"/>
      <c r="D525" s="59"/>
      <c r="G525" s="643" t="s">
        <v>80</v>
      </c>
      <c r="H525" s="643"/>
      <c r="I525" s="643"/>
      <c r="J525" s="643"/>
      <c r="K525" s="110"/>
      <c r="L525" s="110"/>
      <c r="M525" s="643" t="s">
        <v>79</v>
      </c>
      <c r="N525" s="643"/>
      <c r="O525" s="643"/>
      <c r="P525" s="643"/>
      <c r="Q525" s="59"/>
      <c r="R525" s="59"/>
      <c r="S525" s="59"/>
      <c r="T525" s="59"/>
    </row>
    <row r="526" spans="1:20" ht="40.5" customHeight="1">
      <c r="B526" s="642" t="s">
        <v>259</v>
      </c>
      <c r="C526" s="642"/>
      <c r="D526" s="642"/>
      <c r="E526" s="642"/>
      <c r="F526" s="642"/>
      <c r="G526" s="642"/>
      <c r="H526" s="642"/>
      <c r="I526" s="642"/>
      <c r="J526" s="642"/>
      <c r="K526" s="642"/>
      <c r="L526" s="642"/>
      <c r="M526" s="642"/>
      <c r="N526" s="642"/>
      <c r="O526" s="642"/>
      <c r="P526" s="642"/>
      <c r="Q526" s="642"/>
      <c r="R526" s="642"/>
      <c r="S526" s="642"/>
    </row>
    <row r="528" spans="1:20" ht="68.25" customHeight="1">
      <c r="A528" s="95" t="s">
        <v>278</v>
      </c>
      <c r="B528" s="627" t="s">
        <v>30</v>
      </c>
      <c r="C528" s="627"/>
      <c r="D528" s="627"/>
      <c r="E528" s="627"/>
      <c r="F528" s="627"/>
      <c r="G528" s="627"/>
      <c r="H528" s="627"/>
      <c r="I528" s="627"/>
      <c r="J528" s="627"/>
      <c r="K528" s="627"/>
      <c r="L528" s="627"/>
      <c r="M528" s="627"/>
      <c r="N528" s="627"/>
      <c r="O528" s="627"/>
      <c r="P528" s="627"/>
      <c r="Q528" s="627"/>
    </row>
    <row r="529" spans="1:20" ht="15.75" customHeight="1">
      <c r="A529" s="52"/>
      <c r="B529" s="599" t="s">
        <v>47</v>
      </c>
      <c r="C529" s="599"/>
      <c r="D529" s="599"/>
      <c r="E529" s="599"/>
      <c r="F529" s="599"/>
      <c r="G529" s="599"/>
      <c r="H529" s="599"/>
      <c r="I529" s="599"/>
      <c r="J529" s="599"/>
      <c r="K529" s="599"/>
      <c r="L529" s="599"/>
      <c r="M529" s="599"/>
      <c r="N529" s="599"/>
      <c r="O529" s="599"/>
      <c r="P529" s="599"/>
      <c r="Q529" s="599"/>
    </row>
    <row r="530" spans="1:20" ht="15" customHeight="1">
      <c r="A530" s="42"/>
      <c r="B530" s="599" t="s">
        <v>31</v>
      </c>
      <c r="C530" s="599"/>
      <c r="D530" s="599"/>
      <c r="E530" s="599"/>
      <c r="F530" s="599"/>
      <c r="G530" s="599"/>
      <c r="H530" s="599"/>
      <c r="I530" s="599"/>
      <c r="J530" s="599"/>
      <c r="K530" s="599"/>
      <c r="L530" s="599"/>
      <c r="M530" s="599"/>
      <c r="N530" s="599"/>
      <c r="O530" s="599"/>
      <c r="P530" s="599"/>
      <c r="Q530" s="599"/>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640" t="s">
        <v>2</v>
      </c>
      <c r="C532" s="594" t="s">
        <v>0</v>
      </c>
      <c r="D532" s="583">
        <v>1</v>
      </c>
      <c r="E532" s="583" t="s">
        <v>1</v>
      </c>
      <c r="F532" s="584">
        <v>6.4</v>
      </c>
      <c r="G532" s="583" t="s">
        <v>1</v>
      </c>
      <c r="H532" s="584">
        <v>2.2999999999999998</v>
      </c>
      <c r="I532" s="583" t="s">
        <v>1</v>
      </c>
      <c r="J532" s="31">
        <v>4.05</v>
      </c>
      <c r="K532" s="32" t="s">
        <v>14</v>
      </c>
      <c r="L532" s="31">
        <v>5.5</v>
      </c>
      <c r="M532" s="20"/>
      <c r="N532" s="7"/>
      <c r="O532" s="594" t="s">
        <v>0</v>
      </c>
      <c r="P532" s="644">
        <f>ROUND((D532*F532*H532*(J532+L532)/2),2)</f>
        <v>70.290000000000006</v>
      </c>
      <c r="Q532" s="583" t="s">
        <v>7</v>
      </c>
    </row>
    <row r="533" spans="1:20">
      <c r="B533" s="640"/>
      <c r="C533" s="594"/>
      <c r="D533" s="583"/>
      <c r="E533" s="583"/>
      <c r="F533" s="584"/>
      <c r="G533" s="583"/>
      <c r="H533" s="584"/>
      <c r="I533" s="583"/>
      <c r="J533" s="7"/>
      <c r="K533" s="29">
        <v>2</v>
      </c>
      <c r="L533" s="20"/>
      <c r="M533" s="20"/>
      <c r="N533" s="7"/>
      <c r="O533" s="594"/>
      <c r="P533" s="644"/>
      <c r="Q533" s="583"/>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577" t="s">
        <v>9</v>
      </c>
      <c r="K538" s="577"/>
      <c r="L538" s="582">
        <v>56</v>
      </c>
      <c r="M538" s="582"/>
      <c r="N538" s="597" t="s">
        <v>10</v>
      </c>
      <c r="O538" s="598"/>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599" t="s">
        <v>33</v>
      </c>
      <c r="C542" s="599"/>
      <c r="D542" s="599"/>
      <c r="E542" s="599"/>
      <c r="F542" s="599"/>
      <c r="G542" s="599"/>
      <c r="H542" s="599"/>
      <c r="I542" s="599"/>
      <c r="J542" s="599"/>
      <c r="K542" s="599"/>
      <c r="L542" s="599"/>
      <c r="M542" s="599"/>
      <c r="N542" s="599"/>
      <c r="O542" s="599"/>
      <c r="P542" s="599"/>
      <c r="Q542" s="599"/>
    </row>
    <row r="543" spans="1:20">
      <c r="B543" s="5"/>
      <c r="C543" s="29"/>
      <c r="D543" s="20"/>
      <c r="E543" s="20"/>
      <c r="F543" s="7"/>
      <c r="G543" s="20"/>
      <c r="H543" s="7"/>
      <c r="I543" s="20"/>
      <c r="J543" s="7"/>
      <c r="K543" s="20"/>
      <c r="L543" s="20"/>
      <c r="M543" s="20"/>
      <c r="N543" s="20"/>
      <c r="O543" s="29"/>
      <c r="P543" s="2"/>
    </row>
    <row r="544" spans="1:20">
      <c r="B544" s="590" t="s">
        <v>5</v>
      </c>
      <c r="C544" s="591" t="s">
        <v>0</v>
      </c>
      <c r="D544" s="592">
        <v>1</v>
      </c>
      <c r="E544" s="592" t="s">
        <v>1</v>
      </c>
      <c r="F544" s="147">
        <v>7.86</v>
      </c>
      <c r="G544" s="148" t="s">
        <v>14</v>
      </c>
      <c r="H544" s="147">
        <v>7.74</v>
      </c>
      <c r="I544" s="592" t="s">
        <v>1</v>
      </c>
      <c r="J544" s="607">
        <v>1.8</v>
      </c>
      <c r="K544" s="592" t="s">
        <v>1</v>
      </c>
      <c r="L544" s="607">
        <v>0.25</v>
      </c>
      <c r="M544" s="33"/>
      <c r="N544" s="34"/>
      <c r="O544" s="628" t="s">
        <v>0</v>
      </c>
      <c r="P544" s="630">
        <f>ROUND((L544*J544*D544)*(F544+H544)/2,2)</f>
        <v>3.51</v>
      </c>
      <c r="Q544" s="639" t="s">
        <v>7</v>
      </c>
    </row>
    <row r="545" spans="1:20">
      <c r="B545" s="590"/>
      <c r="C545" s="591"/>
      <c r="D545" s="592"/>
      <c r="E545" s="592"/>
      <c r="F545" s="151"/>
      <c r="G545" s="151">
        <v>2</v>
      </c>
      <c r="H545" s="151"/>
      <c r="I545" s="592"/>
      <c r="J545" s="607"/>
      <c r="K545" s="592"/>
      <c r="L545" s="607"/>
      <c r="O545" s="628"/>
      <c r="P545" s="630"/>
      <c r="Q545" s="639"/>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577" t="s">
        <v>9</v>
      </c>
      <c r="K549" s="577"/>
      <c r="L549" s="582">
        <v>705</v>
      </c>
      <c r="M549" s="582"/>
      <c r="N549" s="597" t="s">
        <v>10</v>
      </c>
      <c r="O549" s="598"/>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627" t="s">
        <v>34</v>
      </c>
      <c r="C553" s="627"/>
      <c r="D553" s="627"/>
      <c r="E553" s="627"/>
      <c r="F553" s="627"/>
      <c r="G553" s="627"/>
      <c r="H553" s="627"/>
      <c r="I553" s="627"/>
      <c r="J553" s="627"/>
      <c r="K553" s="627"/>
      <c r="L553" s="627"/>
      <c r="M553" s="627"/>
      <c r="N553" s="627"/>
      <c r="O553" s="627"/>
      <c r="P553" s="627"/>
      <c r="Q553" s="627"/>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582" t="s">
        <v>21</v>
      </c>
      <c r="H558" s="581"/>
      <c r="I558" s="582">
        <v>3133</v>
      </c>
      <c r="J558" s="582"/>
      <c r="K558" s="582"/>
      <c r="L558" s="597" t="s">
        <v>10</v>
      </c>
      <c r="M558" s="598"/>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641" t="s">
        <v>29</v>
      </c>
      <c r="Q561" s="641"/>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586" t="s">
        <v>25</v>
      </c>
      <c r="Q567" s="586"/>
      <c r="R567" s="50" t="s">
        <v>0</v>
      </c>
      <c r="S567" s="49" t="s">
        <v>11</v>
      </c>
      <c r="T567" s="28">
        <f>T561*1</f>
        <v>20810</v>
      </c>
    </row>
    <row r="568" spans="1:20" ht="38.25">
      <c r="A568" s="95" t="s">
        <v>282</v>
      </c>
      <c r="B568" s="599" t="s">
        <v>35</v>
      </c>
      <c r="C568" s="599"/>
      <c r="D568" s="599"/>
      <c r="E568" s="599"/>
      <c r="F568" s="599"/>
      <c r="G568" s="599"/>
      <c r="H568" s="599"/>
      <c r="I568" s="599"/>
      <c r="J568" s="599"/>
      <c r="K568" s="599"/>
      <c r="L568" s="599"/>
      <c r="M568" s="599"/>
      <c r="N568" s="599"/>
      <c r="O568" s="599"/>
      <c r="P568" s="599"/>
      <c r="Q568" s="599"/>
    </row>
    <row r="569" spans="1:20">
      <c r="B569" s="640" t="s">
        <v>3</v>
      </c>
      <c r="C569" s="594" t="s">
        <v>0</v>
      </c>
      <c r="D569" s="583">
        <v>1</v>
      </c>
      <c r="E569" s="583" t="s">
        <v>1</v>
      </c>
      <c r="F569" s="584">
        <v>3</v>
      </c>
      <c r="G569" s="583" t="s">
        <v>1</v>
      </c>
      <c r="H569" s="31">
        <v>0.6</v>
      </c>
      <c r="I569" s="32" t="s">
        <v>14</v>
      </c>
      <c r="J569" s="31">
        <v>1.3</v>
      </c>
      <c r="K569" s="583" t="s">
        <v>1</v>
      </c>
      <c r="L569" s="584">
        <v>2.8</v>
      </c>
      <c r="M569" s="38"/>
      <c r="N569" s="40"/>
      <c r="O569" s="594" t="s">
        <v>0</v>
      </c>
      <c r="P569" s="587">
        <f>ROUND((L569*F569*D569*(H569+J569)/2),2)</f>
        <v>7.98</v>
      </c>
      <c r="Q569" s="606" t="s">
        <v>7</v>
      </c>
    </row>
    <row r="570" spans="1:20">
      <c r="B570" s="640"/>
      <c r="C570" s="594"/>
      <c r="D570" s="583"/>
      <c r="E570" s="583"/>
      <c r="F570" s="584"/>
      <c r="G570" s="583"/>
      <c r="H570" s="7"/>
      <c r="I570" s="29">
        <v>2</v>
      </c>
      <c r="J570" s="7"/>
      <c r="K570" s="583"/>
      <c r="L570" s="584"/>
      <c r="M570" s="38"/>
      <c r="N570" s="38"/>
      <c r="O570" s="594"/>
      <c r="P570" s="587"/>
      <c r="Q570" s="606"/>
    </row>
    <row r="571" spans="1:20">
      <c r="B571" s="640" t="s">
        <v>2</v>
      </c>
      <c r="C571" s="594" t="s">
        <v>0</v>
      </c>
      <c r="D571" s="583">
        <v>1</v>
      </c>
      <c r="E571" s="583" t="s">
        <v>1</v>
      </c>
      <c r="F571" s="584">
        <v>6.4</v>
      </c>
      <c r="G571" s="583" t="s">
        <v>1</v>
      </c>
      <c r="H571" s="31">
        <v>0.6</v>
      </c>
      <c r="I571" s="32" t="s">
        <v>14</v>
      </c>
      <c r="J571" s="31">
        <v>1.98</v>
      </c>
      <c r="K571" s="583" t="s">
        <v>1</v>
      </c>
      <c r="L571" s="584">
        <v>4.5</v>
      </c>
      <c r="M571" s="38"/>
      <c r="N571" s="40"/>
      <c r="O571" s="594" t="s">
        <v>0</v>
      </c>
      <c r="P571" s="587">
        <f>ROUND((L571*F571*D571*(H571+J571)/2),2)</f>
        <v>37.15</v>
      </c>
      <c r="Q571" s="606" t="s">
        <v>7</v>
      </c>
    </row>
    <row r="572" spans="1:20">
      <c r="B572" s="640"/>
      <c r="C572" s="594"/>
      <c r="D572" s="583"/>
      <c r="E572" s="583"/>
      <c r="F572" s="584"/>
      <c r="G572" s="583"/>
      <c r="H572" s="7"/>
      <c r="I572" s="29">
        <v>2</v>
      </c>
      <c r="J572" s="7"/>
      <c r="K572" s="583"/>
      <c r="L572" s="584"/>
      <c r="M572" s="38"/>
      <c r="N572" s="38"/>
      <c r="O572" s="594"/>
      <c r="P572" s="587"/>
      <c r="Q572" s="606"/>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638" t="s">
        <v>12</v>
      </c>
      <c r="C582" s="594" t="s">
        <v>0</v>
      </c>
      <c r="D582" s="583">
        <v>2</v>
      </c>
      <c r="E582" s="583" t="s">
        <v>1</v>
      </c>
      <c r="F582" s="45">
        <v>1.05</v>
      </c>
      <c r="G582" s="46" t="s">
        <v>14</v>
      </c>
      <c r="H582" s="31">
        <v>0.75</v>
      </c>
      <c r="I582" s="583" t="s">
        <v>1</v>
      </c>
      <c r="J582" s="31">
        <v>3.14</v>
      </c>
      <c r="K582" s="583" t="s">
        <v>1</v>
      </c>
      <c r="L582" s="584">
        <v>1.2</v>
      </c>
      <c r="M582" s="632" t="s">
        <v>1</v>
      </c>
      <c r="N582" s="634">
        <v>1.2</v>
      </c>
      <c r="O582" s="628" t="s">
        <v>0</v>
      </c>
      <c r="P582" s="636">
        <f>ROUND((N582*L582*D582*(J582/J583)*(F582+H582)/G583),2)</f>
        <v>2.0299999999999998</v>
      </c>
      <c r="Q582" s="639" t="s">
        <v>7</v>
      </c>
    </row>
    <row r="583" spans="1:20">
      <c r="B583" s="589"/>
      <c r="C583" s="583"/>
      <c r="D583" s="583"/>
      <c r="E583" s="583"/>
      <c r="F583" s="38"/>
      <c r="G583" s="38">
        <v>2</v>
      </c>
      <c r="H583" s="20"/>
      <c r="I583" s="583"/>
      <c r="J583" s="20">
        <v>4</v>
      </c>
      <c r="K583" s="583"/>
      <c r="L583" s="584"/>
      <c r="M583" s="633"/>
      <c r="N583" s="635"/>
      <c r="O583" s="629"/>
      <c r="P583" s="637"/>
      <c r="Q583" s="637"/>
    </row>
    <row r="584" spans="1:20" ht="14.25">
      <c r="C584" s="1"/>
      <c r="F584" s="2"/>
      <c r="H584" s="2"/>
      <c r="I584" s="1"/>
      <c r="J584" s="2"/>
      <c r="L584" t="s">
        <v>68</v>
      </c>
      <c r="N584" s="7"/>
      <c r="O584" s="1" t="s">
        <v>0</v>
      </c>
      <c r="P584" s="2">
        <f>P581-P582</f>
        <v>59.059999999999995</v>
      </c>
      <c r="Q584" t="s">
        <v>7</v>
      </c>
    </row>
    <row r="585" spans="1:20" ht="14.25">
      <c r="C585" s="1"/>
      <c r="F585" s="2"/>
      <c r="I585" s="8"/>
      <c r="J585" s="577" t="s">
        <v>9</v>
      </c>
      <c r="K585" s="577"/>
      <c r="L585" s="582">
        <v>2334</v>
      </c>
      <c r="M585" s="582"/>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627" t="s">
        <v>36</v>
      </c>
      <c r="C589" s="627"/>
      <c r="D589" s="627"/>
      <c r="E589" s="627"/>
      <c r="F589" s="627"/>
      <c r="G589" s="627"/>
      <c r="H589" s="627"/>
      <c r="I589" s="627"/>
      <c r="J589" s="627"/>
      <c r="K589" s="627"/>
      <c r="L589" s="627"/>
      <c r="M589" s="627"/>
      <c r="N589" s="627"/>
      <c r="O589" s="627"/>
      <c r="P589" s="627"/>
      <c r="Q589" s="627"/>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577" t="s">
        <v>9</v>
      </c>
      <c r="K593" s="577"/>
      <c r="L593" s="579">
        <v>9264</v>
      </c>
      <c r="M593" s="579"/>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627" t="s">
        <v>37</v>
      </c>
      <c r="C597" s="627"/>
      <c r="D597" s="627"/>
      <c r="E597" s="627"/>
      <c r="F597" s="627"/>
      <c r="G597" s="627"/>
      <c r="H597" s="627"/>
      <c r="I597" s="627"/>
      <c r="J597" s="627"/>
      <c r="K597" s="627"/>
      <c r="L597" s="627"/>
      <c r="M597" s="627"/>
      <c r="N597" s="627"/>
      <c r="O597" s="627"/>
      <c r="P597" s="627"/>
      <c r="Q597" s="627"/>
    </row>
    <row r="598" spans="1:20" ht="13.5" customHeight="1">
      <c r="A598" s="54"/>
      <c r="B598" s="617" t="s">
        <v>38</v>
      </c>
      <c r="C598" s="617"/>
      <c r="D598" s="617"/>
      <c r="E598" s="617"/>
      <c r="F598" s="617"/>
      <c r="G598" s="617"/>
      <c r="H598" s="617"/>
      <c r="I598" s="617"/>
      <c r="J598" s="617"/>
      <c r="K598" s="617"/>
      <c r="L598" s="617"/>
      <c r="M598" s="617"/>
      <c r="N598" s="617"/>
      <c r="O598" s="617"/>
      <c r="P598" s="617"/>
      <c r="Q598" s="617"/>
    </row>
    <row r="599" spans="1:20">
      <c r="A599" s="4"/>
    </row>
    <row r="600" spans="1:20">
      <c r="B600" s="623" t="s">
        <v>66</v>
      </c>
      <c r="C600" s="594" t="s">
        <v>0</v>
      </c>
      <c r="D600" s="583">
        <v>1</v>
      </c>
      <c r="E600" s="583" t="s">
        <v>1</v>
      </c>
      <c r="F600" s="584">
        <v>3</v>
      </c>
      <c r="G600" s="583" t="s">
        <v>1</v>
      </c>
      <c r="H600" s="31">
        <v>0.15</v>
      </c>
      <c r="I600" s="32" t="s">
        <v>14</v>
      </c>
      <c r="J600" s="31">
        <v>0.32</v>
      </c>
      <c r="K600" s="583" t="s">
        <v>1</v>
      </c>
      <c r="L600" s="584">
        <v>0.68</v>
      </c>
      <c r="M600" s="38"/>
      <c r="N600" s="40"/>
      <c r="O600" s="594" t="s">
        <v>0</v>
      </c>
      <c r="P600" s="587">
        <f>ROUND((L600*F600*D600*(H600+J600)/2),2)</f>
        <v>0.48</v>
      </c>
      <c r="Q600" s="606" t="s">
        <v>7</v>
      </c>
    </row>
    <row r="601" spans="1:20">
      <c r="B601" s="624"/>
      <c r="C601" s="594"/>
      <c r="D601" s="583"/>
      <c r="E601" s="583"/>
      <c r="F601" s="584"/>
      <c r="G601" s="583"/>
      <c r="H601" s="7"/>
      <c r="I601" s="29">
        <v>2</v>
      </c>
      <c r="J601" s="7"/>
      <c r="K601" s="583"/>
      <c r="L601" s="584"/>
      <c r="M601" s="38"/>
      <c r="N601" s="38"/>
      <c r="O601" s="594"/>
      <c r="P601" s="587"/>
      <c r="Q601" s="606"/>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623" t="s">
        <v>67</v>
      </c>
      <c r="C604" s="594" t="s">
        <v>0</v>
      </c>
      <c r="D604" s="583">
        <v>1</v>
      </c>
      <c r="E604" s="583" t="s">
        <v>1</v>
      </c>
      <c r="F604" s="584">
        <v>6.4</v>
      </c>
      <c r="G604" s="583" t="s">
        <v>1</v>
      </c>
      <c r="H604" s="31">
        <v>0.15</v>
      </c>
      <c r="I604" s="32" t="s">
        <v>14</v>
      </c>
      <c r="J604" s="31">
        <v>0.85</v>
      </c>
      <c r="K604" s="583" t="s">
        <v>1</v>
      </c>
      <c r="L604" s="584">
        <v>3.37</v>
      </c>
      <c r="M604" s="39"/>
      <c r="N604" s="37"/>
      <c r="O604" s="628" t="s">
        <v>0</v>
      </c>
      <c r="P604" s="587">
        <f>ROUND((L604*F604*D604*(H604+J604)/2),2)</f>
        <v>10.78</v>
      </c>
      <c r="Q604" s="625" t="s">
        <v>7</v>
      </c>
      <c r="R604" s="18"/>
    </row>
    <row r="605" spans="1:20">
      <c r="B605" s="624"/>
      <c r="C605" s="594"/>
      <c r="D605" s="583"/>
      <c r="E605" s="583"/>
      <c r="F605" s="584"/>
      <c r="G605" s="583"/>
      <c r="H605" s="7"/>
      <c r="I605" s="29">
        <v>2</v>
      </c>
      <c r="J605" s="7"/>
      <c r="K605" s="583"/>
      <c r="L605" s="584"/>
      <c r="M605" s="39"/>
      <c r="N605" s="39"/>
      <c r="O605" s="628"/>
      <c r="P605" s="587"/>
      <c r="Q605" s="625"/>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579" t="s">
        <v>76</v>
      </c>
      <c r="M607" s="579"/>
      <c r="N607" s="579"/>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585" t="s">
        <v>24</v>
      </c>
      <c r="Q608" s="585"/>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586" t="s">
        <v>25</v>
      </c>
      <c r="Q613" s="586"/>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579" t="s">
        <v>77</v>
      </c>
      <c r="M615" s="579"/>
      <c r="N615" s="579"/>
      <c r="O615" s="1" t="s">
        <v>0</v>
      </c>
      <c r="P615" s="68">
        <f>$P$353</f>
        <v>18.353399999999997</v>
      </c>
      <c r="Q615" t="s">
        <v>7</v>
      </c>
      <c r="R615" s="50"/>
      <c r="S615" s="49"/>
      <c r="T615" s="26"/>
    </row>
    <row r="616" spans="1:20">
      <c r="B616" s="589" t="s">
        <v>48</v>
      </c>
      <c r="C616" s="589"/>
      <c r="D616" s="589"/>
      <c r="E616" s="589"/>
      <c r="F616" s="589"/>
      <c r="G616" s="589"/>
      <c r="H616" s="589"/>
      <c r="I616" s="20"/>
      <c r="J616" s="44"/>
      <c r="K616" s="20"/>
      <c r="L616" s="20"/>
      <c r="M616" s="20"/>
      <c r="N616" s="7"/>
      <c r="O616" s="1"/>
      <c r="P616" s="2"/>
      <c r="T616" s="11"/>
    </row>
    <row r="617" spans="1:20">
      <c r="B617" s="41"/>
      <c r="C617" s="594" t="s">
        <v>0</v>
      </c>
      <c r="D617" s="583">
        <v>2</v>
      </c>
      <c r="E617" s="583" t="s">
        <v>1</v>
      </c>
      <c r="F617" s="31">
        <v>3.14</v>
      </c>
      <c r="G617" s="583" t="s">
        <v>1</v>
      </c>
      <c r="H617" s="584">
        <v>1.2</v>
      </c>
      <c r="I617" s="583" t="s">
        <v>1</v>
      </c>
      <c r="J617" s="584">
        <v>1.2</v>
      </c>
      <c r="K617" s="583" t="s">
        <v>1</v>
      </c>
      <c r="L617" s="584">
        <v>0.6</v>
      </c>
      <c r="M617" s="33"/>
      <c r="N617" s="34"/>
      <c r="O617" s="628" t="s">
        <v>0</v>
      </c>
      <c r="P617" s="630">
        <f>ROUND((L617*J617*H617*D617)*(F617)/4,2)</f>
        <v>1.36</v>
      </c>
      <c r="Q617" s="625" t="s">
        <v>7</v>
      </c>
      <c r="T617" s="11"/>
    </row>
    <row r="618" spans="1:20">
      <c r="B618" s="41"/>
      <c r="C618" s="594"/>
      <c r="D618" s="583"/>
      <c r="E618" s="583"/>
      <c r="F618" s="36">
        <v>4</v>
      </c>
      <c r="G618" s="583"/>
      <c r="H618" s="584"/>
      <c r="I618" s="583"/>
      <c r="J618" s="584"/>
      <c r="K618" s="583"/>
      <c r="L618" s="584"/>
      <c r="M618" s="30"/>
      <c r="N618" s="31"/>
      <c r="O618" s="629"/>
      <c r="P618" s="631"/>
      <c r="Q618" s="626"/>
      <c r="T618" s="11"/>
    </row>
    <row r="619" spans="1:20" ht="14.25">
      <c r="L619" t="s">
        <v>49</v>
      </c>
      <c r="N619" s="7"/>
      <c r="O619" s="1" t="s">
        <v>0</v>
      </c>
      <c r="P619" s="2">
        <f>P607-P617</f>
        <v>21.89</v>
      </c>
      <c r="Q619" t="s">
        <v>7</v>
      </c>
    </row>
    <row r="620" spans="1:20" ht="14.25">
      <c r="I620" s="8"/>
      <c r="J620" s="577" t="s">
        <v>9</v>
      </c>
      <c r="K620" s="577"/>
      <c r="L620" s="582">
        <v>358</v>
      </c>
      <c r="M620" s="582"/>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627" t="s">
        <v>39</v>
      </c>
      <c r="C624" s="627"/>
      <c r="D624" s="627"/>
      <c r="E624" s="627"/>
      <c r="F624" s="627"/>
      <c r="G624" s="627"/>
      <c r="H624" s="627"/>
      <c r="I624" s="627"/>
      <c r="J624" s="627"/>
      <c r="K624" s="627"/>
      <c r="L624" s="627"/>
      <c r="M624" s="627"/>
      <c r="N624" s="627"/>
      <c r="O624" s="627"/>
      <c r="P624" s="627"/>
      <c r="Q624" s="627"/>
    </row>
    <row r="625" spans="1:20">
      <c r="B625" s="623" t="s">
        <v>66</v>
      </c>
      <c r="C625" s="594" t="s">
        <v>0</v>
      </c>
      <c r="D625" s="583">
        <v>2</v>
      </c>
      <c r="E625" s="583" t="s">
        <v>1</v>
      </c>
      <c r="F625" s="584">
        <v>1.2</v>
      </c>
      <c r="G625" s="583" t="s">
        <v>1</v>
      </c>
      <c r="H625" s="31">
        <v>0</v>
      </c>
      <c r="I625" s="32" t="s">
        <v>14</v>
      </c>
      <c r="J625" s="31">
        <v>0.25</v>
      </c>
      <c r="K625" s="583" t="s">
        <v>1</v>
      </c>
      <c r="L625" s="593">
        <v>2.125</v>
      </c>
      <c r="M625" s="38"/>
      <c r="N625" s="40"/>
      <c r="O625" s="594" t="s">
        <v>0</v>
      </c>
      <c r="P625" s="587">
        <f>(L625*F625*D625*(H625+J625)/2)</f>
        <v>0.63749999999999996</v>
      </c>
      <c r="Q625" s="606" t="s">
        <v>7</v>
      </c>
    </row>
    <row r="626" spans="1:20">
      <c r="B626" s="624"/>
      <c r="C626" s="594"/>
      <c r="D626" s="583"/>
      <c r="E626" s="583"/>
      <c r="F626" s="584"/>
      <c r="G626" s="583"/>
      <c r="H626" s="7"/>
      <c r="I626" s="29">
        <v>2</v>
      </c>
      <c r="J626" s="7"/>
      <c r="K626" s="583"/>
      <c r="L626" s="593"/>
      <c r="M626" s="38"/>
      <c r="N626" s="38"/>
      <c r="O626" s="594"/>
      <c r="P626" s="587"/>
      <c r="Q626" s="606"/>
    </row>
    <row r="627" spans="1:20">
      <c r="B627" s="623" t="s">
        <v>67</v>
      </c>
      <c r="C627" s="594" t="s">
        <v>0</v>
      </c>
      <c r="D627" s="583">
        <v>2</v>
      </c>
      <c r="E627" s="583" t="s">
        <v>1</v>
      </c>
      <c r="F627" s="584">
        <v>2.2999999999999998</v>
      </c>
      <c r="G627" s="583" t="s">
        <v>1</v>
      </c>
      <c r="H627" s="31">
        <v>0.15</v>
      </c>
      <c r="I627" s="32" t="s">
        <v>14</v>
      </c>
      <c r="J627" s="31">
        <v>0.78</v>
      </c>
      <c r="K627" s="583" t="s">
        <v>1</v>
      </c>
      <c r="L627" s="593">
        <v>2.125</v>
      </c>
      <c r="M627" s="38"/>
      <c r="N627" s="40"/>
      <c r="O627" s="594" t="s">
        <v>0</v>
      </c>
      <c r="P627" s="587">
        <f>(L627*F627*D627*(H627+J627)/2)</f>
        <v>4.5453749999999999</v>
      </c>
      <c r="Q627" s="606" t="s">
        <v>7</v>
      </c>
    </row>
    <row r="628" spans="1:20">
      <c r="B628" s="624"/>
      <c r="C628" s="594"/>
      <c r="D628" s="583"/>
      <c r="E628" s="583"/>
      <c r="F628" s="584"/>
      <c r="G628" s="583"/>
      <c r="H628" s="7"/>
      <c r="I628" s="29">
        <v>2</v>
      </c>
      <c r="J628" s="7"/>
      <c r="K628" s="583"/>
      <c r="L628" s="593"/>
      <c r="M628" s="38"/>
      <c r="N628" s="38"/>
      <c r="O628" s="594"/>
      <c r="P628" s="587"/>
      <c r="Q628" s="606"/>
    </row>
    <row r="629" spans="1:20" ht="14.25">
      <c r="B629" s="590" t="s">
        <v>27</v>
      </c>
      <c r="C629" s="591" t="s">
        <v>0</v>
      </c>
      <c r="D629" s="592">
        <v>1</v>
      </c>
      <c r="E629" s="592" t="s">
        <v>1</v>
      </c>
      <c r="F629" s="147">
        <v>7.3</v>
      </c>
      <c r="G629" s="148" t="s">
        <v>14</v>
      </c>
      <c r="H629" s="147">
        <v>7.6</v>
      </c>
      <c r="I629" s="592" t="s">
        <v>1</v>
      </c>
      <c r="J629" s="607">
        <v>1.8</v>
      </c>
      <c r="K629" s="592" t="s">
        <v>1</v>
      </c>
      <c r="L629" s="607">
        <v>0.6</v>
      </c>
      <c r="M629" s="33"/>
      <c r="N629" s="34"/>
      <c r="O629" s="35" t="s">
        <v>0</v>
      </c>
      <c r="P629" s="19">
        <f>ROUND((L629*J629*D629)*(F629+H629)/2,2)</f>
        <v>8.0500000000000007</v>
      </c>
      <c r="Q629" s="18" t="s">
        <v>7</v>
      </c>
    </row>
    <row r="630" spans="1:20">
      <c r="B630" s="590"/>
      <c r="C630" s="591"/>
      <c r="D630" s="592"/>
      <c r="E630" s="592"/>
      <c r="F630" s="149"/>
      <c r="G630" s="150">
        <v>2</v>
      </c>
      <c r="H630" s="149"/>
      <c r="I630" s="592"/>
      <c r="J630" s="607"/>
      <c r="K630" s="592"/>
      <c r="L630" s="607"/>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577" t="s">
        <v>9</v>
      </c>
      <c r="K632" s="577"/>
      <c r="L632" s="582">
        <v>116</v>
      </c>
      <c r="M632" s="582"/>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617" t="s">
        <v>40</v>
      </c>
      <c r="C636" s="617"/>
      <c r="D636" s="617"/>
      <c r="E636" s="617"/>
      <c r="F636" s="617"/>
      <c r="G636" s="617"/>
      <c r="H636" s="617"/>
      <c r="I636" s="617"/>
      <c r="J636" s="617"/>
      <c r="K636" s="617"/>
      <c r="L636" s="617"/>
      <c r="M636" s="617"/>
      <c r="N636" s="617"/>
      <c r="O636" s="617"/>
      <c r="P636" s="617"/>
      <c r="Q636" s="617"/>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618">
        <v>76</v>
      </c>
      <c r="M651" s="618"/>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585" t="s">
        <v>24</v>
      </c>
      <c r="Q654" s="585"/>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586" t="s">
        <v>25</v>
      </c>
      <c r="Q663" s="586"/>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615" t="s">
        <v>78</v>
      </c>
      <c r="C665" s="615"/>
      <c r="D665" s="615"/>
      <c r="E665" s="615"/>
      <c r="F665" s="615"/>
      <c r="G665" s="615"/>
      <c r="H665" s="615"/>
      <c r="I665" s="615"/>
      <c r="J665" s="615"/>
      <c r="K665" s="615"/>
      <c r="L665" s="615"/>
      <c r="M665" s="615"/>
      <c r="N665" s="615"/>
      <c r="O665" s="615"/>
      <c r="P665" s="615"/>
      <c r="Q665" s="615"/>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578">
        <f>P548*1</f>
        <v>6.18</v>
      </c>
      <c r="I667" s="578"/>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578">
        <f>P557*1</f>
        <v>3.1300000000000003</v>
      </c>
      <c r="I668" s="578"/>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578">
        <f>P584*1</f>
        <v>59.059999999999995</v>
      </c>
      <c r="I669" s="578"/>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578">
        <f>P619*1</f>
        <v>21.89</v>
      </c>
      <c r="I670" s="578"/>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588" t="s">
        <v>8</v>
      </c>
      <c r="N671" s="588"/>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578">
        <f>H668*1</f>
        <v>3.1300000000000003</v>
      </c>
      <c r="I674" s="578"/>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578">
        <f>H669*1</f>
        <v>59.059999999999995</v>
      </c>
      <c r="I675" s="578"/>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578">
        <f>P650*1</f>
        <v>48.050000000000004</v>
      </c>
      <c r="I676" s="578"/>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588" t="s">
        <v>8</v>
      </c>
      <c r="N677" s="588"/>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619">
        <f>P671*1</f>
        <v>104.86</v>
      </c>
      <c r="L680" s="620"/>
      <c r="M680" s="600" t="s">
        <v>57</v>
      </c>
      <c r="N680" s="600"/>
      <c r="O680" s="51"/>
      <c r="P680" s="18"/>
      <c r="Q680" s="56"/>
      <c r="R680" s="51"/>
      <c r="S680" s="51"/>
    </row>
    <row r="681" spans="1:20" ht="14.25">
      <c r="B681" s="61" t="s">
        <v>44</v>
      </c>
      <c r="C681" s="61"/>
      <c r="D681" s="61"/>
      <c r="E681" s="61"/>
      <c r="F681" s="61"/>
      <c r="G681" s="61"/>
      <c r="H681" s="63"/>
      <c r="I681" s="63"/>
      <c r="J681" s="63"/>
      <c r="K681" s="621">
        <f>P677*1</f>
        <v>22.8</v>
      </c>
      <c r="L681" s="621"/>
      <c r="M681" s="622" t="s">
        <v>57</v>
      </c>
      <c r="N681" s="622"/>
      <c r="O681" s="51"/>
      <c r="P681" s="18"/>
      <c r="Q681" s="56"/>
      <c r="R681" s="51"/>
      <c r="S681" s="51"/>
    </row>
    <row r="682" spans="1:20" ht="14.25">
      <c r="B682" s="61"/>
      <c r="C682" s="61"/>
      <c r="D682" s="61"/>
      <c r="E682" s="61"/>
      <c r="F682" s="61"/>
      <c r="G682" s="61"/>
      <c r="H682" s="61" t="s">
        <v>45</v>
      </c>
      <c r="I682" s="61"/>
      <c r="J682" s="61"/>
      <c r="K682" s="608">
        <f>K680+K681</f>
        <v>127.66</v>
      </c>
      <c r="L682" s="609"/>
      <c r="M682" s="600" t="s">
        <v>57</v>
      </c>
      <c r="N682" s="600"/>
      <c r="O682" s="51"/>
      <c r="P682" s="18"/>
      <c r="Q682" s="56"/>
      <c r="R682" s="51"/>
      <c r="S682" s="51"/>
    </row>
    <row r="683" spans="1:20" ht="14.25">
      <c r="B683" s="56"/>
      <c r="C683" s="56"/>
      <c r="D683" s="56"/>
      <c r="E683" s="56"/>
      <c r="F683" s="56"/>
      <c r="G683" s="56"/>
      <c r="H683" s="56"/>
      <c r="I683" s="56"/>
      <c r="J683" s="577" t="s">
        <v>9</v>
      </c>
      <c r="K683" s="577"/>
      <c r="L683" s="582">
        <v>95</v>
      </c>
      <c r="M683" s="582"/>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598" t="s">
        <v>52</v>
      </c>
      <c r="D688" s="598"/>
      <c r="E688" s="598"/>
      <c r="F688" s="598"/>
      <c r="G688" s="598"/>
      <c r="H688" s="598"/>
      <c r="I688" s="598"/>
      <c r="J688" s="598"/>
      <c r="K688" s="598"/>
    </row>
    <row r="689" spans="1:20">
      <c r="C689" s="151" t="s">
        <v>345</v>
      </c>
      <c r="L689" s="17"/>
      <c r="M689" s="17"/>
      <c r="N689" s="17"/>
      <c r="O689" s="9"/>
      <c r="P689" s="10"/>
      <c r="T689" s="11"/>
    </row>
    <row r="690" spans="1:20" ht="14.25">
      <c r="C690" t="s">
        <v>56</v>
      </c>
      <c r="F690" s="22"/>
      <c r="I690" s="24"/>
      <c r="J690" s="24"/>
      <c r="K690" s="47"/>
      <c r="L690" s="17"/>
      <c r="M690" s="60" t="s">
        <v>0</v>
      </c>
      <c r="N690" s="582">
        <f>K680*1</f>
        <v>104.86</v>
      </c>
      <c r="O690" s="582"/>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582">
        <f>N690*1</f>
        <v>104.86</v>
      </c>
      <c r="F692" s="582"/>
      <c r="G692" t="s">
        <v>1</v>
      </c>
      <c r="H692" s="7">
        <v>2.4</v>
      </c>
      <c r="I692" t="s">
        <v>1</v>
      </c>
      <c r="J692" s="2">
        <v>9</v>
      </c>
      <c r="L692" s="17"/>
      <c r="M692" s="60" t="s">
        <v>0</v>
      </c>
      <c r="N692" s="579">
        <f>ROUND(E692*H692*J692,2)</f>
        <v>2264.98</v>
      </c>
      <c r="O692" s="579"/>
      <c r="P692" s="65" t="s">
        <v>58</v>
      </c>
      <c r="Q692" s="58"/>
      <c r="R692" s="50"/>
      <c r="S692" s="49"/>
      <c r="T692" s="26"/>
    </row>
    <row r="693" spans="1:20">
      <c r="J693" s="577" t="s">
        <v>9</v>
      </c>
      <c r="K693" s="577"/>
      <c r="L693" s="582">
        <v>3.6</v>
      </c>
      <c r="M693" s="582"/>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579">
        <f>N690*1</f>
        <v>104.86</v>
      </c>
      <c r="F696" s="579"/>
      <c r="G696" t="s">
        <v>1</v>
      </c>
      <c r="H696" s="7">
        <v>2.4</v>
      </c>
      <c r="I696" t="s">
        <v>1</v>
      </c>
      <c r="J696" s="2">
        <v>2</v>
      </c>
      <c r="L696" s="17"/>
      <c r="M696" s="60" t="s">
        <v>0</v>
      </c>
      <c r="N696" s="579">
        <f>ROUND(E696*H696*J696,2)</f>
        <v>503.33</v>
      </c>
      <c r="O696" s="579"/>
      <c r="P696" s="65" t="s">
        <v>58</v>
      </c>
      <c r="Q696" s="58"/>
      <c r="R696" s="50"/>
      <c r="S696" s="49"/>
      <c r="T696" s="26"/>
    </row>
    <row r="697" spans="1:20">
      <c r="J697" s="577" t="s">
        <v>9</v>
      </c>
      <c r="K697" s="577"/>
      <c r="L697" s="582">
        <v>8.6</v>
      </c>
      <c r="M697" s="582"/>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580" t="s">
        <v>347</v>
      </c>
      <c r="D700" s="581"/>
      <c r="E700" s="581"/>
      <c r="F700" s="581"/>
      <c r="G700" s="581"/>
      <c r="H700" s="581"/>
      <c r="I700" s="581"/>
      <c r="J700" s="581"/>
      <c r="K700" s="581"/>
      <c r="R700" s="16"/>
      <c r="S700" s="16"/>
    </row>
    <row r="701" spans="1:20">
      <c r="C701" s="151" t="s">
        <v>348</v>
      </c>
      <c r="R701" s="16"/>
      <c r="S701" s="16"/>
    </row>
    <row r="702" spans="1:20" ht="14.25">
      <c r="C702" t="s">
        <v>61</v>
      </c>
      <c r="F702" s="22"/>
      <c r="I702" s="24"/>
      <c r="J702" s="24"/>
      <c r="K702" s="47"/>
      <c r="L702" s="17"/>
      <c r="M702" s="60" t="s">
        <v>0</v>
      </c>
      <c r="N702" s="582">
        <f>K681*1</f>
        <v>22.8</v>
      </c>
      <c r="O702" s="582"/>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579">
        <f>N702*1</f>
        <v>22.8</v>
      </c>
      <c r="F704" s="579"/>
      <c r="G704" t="s">
        <v>1</v>
      </c>
      <c r="H704" s="7">
        <v>1.84</v>
      </c>
      <c r="I704" t="s">
        <v>1</v>
      </c>
      <c r="J704" s="2">
        <v>24</v>
      </c>
      <c r="L704" s="17"/>
      <c r="M704" s="60" t="s">
        <v>0</v>
      </c>
      <c r="N704" s="579">
        <f>ROUND(E704*H704*J704,2)</f>
        <v>1006.85</v>
      </c>
      <c r="O704" s="579"/>
      <c r="P704" s="65" t="s">
        <v>58</v>
      </c>
      <c r="Q704" s="58"/>
      <c r="R704" s="50"/>
      <c r="S704" s="49"/>
      <c r="T704" s="26"/>
    </row>
    <row r="705" spans="3:20">
      <c r="J705" s="577" t="s">
        <v>9</v>
      </c>
      <c r="K705" s="577"/>
      <c r="L705" s="582">
        <v>3.6</v>
      </c>
      <c r="M705" s="582"/>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579">
        <f>N702*1</f>
        <v>22.8</v>
      </c>
      <c r="F708" s="579"/>
      <c r="G708" t="s">
        <v>1</v>
      </c>
      <c r="H708" s="7">
        <v>1.84</v>
      </c>
      <c r="I708" t="s">
        <v>1</v>
      </c>
      <c r="J708" s="2">
        <v>1</v>
      </c>
      <c r="L708" s="17"/>
      <c r="M708" s="60" t="s">
        <v>0</v>
      </c>
      <c r="N708" s="579">
        <f>ROUND(E708*H708*J708,2)</f>
        <v>41.95</v>
      </c>
      <c r="O708" s="579"/>
      <c r="P708" s="65" t="s">
        <v>58</v>
      </c>
      <c r="Q708" s="58"/>
      <c r="R708" s="50"/>
      <c r="S708" s="49"/>
      <c r="T708" s="26"/>
    </row>
    <row r="709" spans="3:20">
      <c r="J709" s="577" t="s">
        <v>9</v>
      </c>
      <c r="K709" s="577"/>
      <c r="L709" s="582">
        <v>8.6</v>
      </c>
      <c r="M709" s="582"/>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585" t="s">
        <v>24</v>
      </c>
      <c r="Q712" s="585"/>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586" t="s">
        <v>25</v>
      </c>
      <c r="Q720" s="586"/>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616" t="s">
        <v>337</v>
      </c>
      <c r="C728" s="616"/>
      <c r="D728" s="616"/>
      <c r="E728" s="616"/>
      <c r="F728" s="616"/>
      <c r="G728" s="576">
        <v>37.6</v>
      </c>
      <c r="H728" s="576"/>
      <c r="I728" s="1" t="s">
        <v>20</v>
      </c>
      <c r="K728" s="1"/>
      <c r="L728" s="155" t="s">
        <v>343</v>
      </c>
      <c r="M728" s="1"/>
      <c r="N728" s="582">
        <f>ROUND(G728*10,0)</f>
        <v>376</v>
      </c>
      <c r="O728" s="582"/>
    </row>
    <row r="729" spans="1:20">
      <c r="B729" s="616" t="s">
        <v>338</v>
      </c>
      <c r="C729" s="616"/>
      <c r="D729" s="616"/>
      <c r="E729" s="616"/>
      <c r="F729" s="616"/>
      <c r="G729" s="576">
        <v>12.8</v>
      </c>
      <c r="H729" s="576"/>
      <c r="I729" s="1" t="s">
        <v>20</v>
      </c>
      <c r="K729" s="1"/>
      <c r="L729" s="155" t="s">
        <v>343</v>
      </c>
      <c r="M729" s="1"/>
      <c r="N729" s="582">
        <f>ROUND(G729*40,0)</f>
        <v>512</v>
      </c>
      <c r="O729" s="582"/>
    </row>
    <row r="730" spans="1:20">
      <c r="B730" s="616" t="s">
        <v>339</v>
      </c>
      <c r="C730" s="616"/>
      <c r="D730" s="616"/>
      <c r="E730" s="616"/>
      <c r="F730" s="616"/>
      <c r="G730" s="576">
        <v>7.6</v>
      </c>
      <c r="H730" s="576"/>
      <c r="I730" s="1" t="s">
        <v>20</v>
      </c>
      <c r="K730" s="1"/>
      <c r="L730" s="155" t="s">
        <v>343</v>
      </c>
      <c r="M730" s="1"/>
      <c r="N730" s="582">
        <f>ROUND(G730*11,0)</f>
        <v>84</v>
      </c>
      <c r="O730" s="582"/>
    </row>
    <row r="731" spans="1:20">
      <c r="B731" s="575" t="s">
        <v>340</v>
      </c>
      <c r="C731" s="575"/>
      <c r="D731" s="575"/>
      <c r="E731" s="575"/>
      <c r="F731" s="575"/>
      <c r="G731" s="614">
        <v>18.3</v>
      </c>
      <c r="H731" s="614"/>
      <c r="I731" s="14" t="s">
        <v>20</v>
      </c>
      <c r="J731" s="13"/>
      <c r="K731" s="14"/>
      <c r="L731" s="156" t="s">
        <v>343</v>
      </c>
      <c r="M731" s="14"/>
      <c r="N731" s="596">
        <f>ROUND(G731*1,0)</f>
        <v>18</v>
      </c>
      <c r="O731" s="596"/>
    </row>
    <row r="732" spans="1:20">
      <c r="B732" s="575"/>
      <c r="C732" s="575"/>
      <c r="D732" s="575"/>
      <c r="E732" s="575"/>
      <c r="F732" s="575"/>
      <c r="G732" s="614"/>
      <c r="H732" s="614"/>
      <c r="I732" s="1"/>
      <c r="J732" s="151" t="s">
        <v>8</v>
      </c>
      <c r="K732" s="76"/>
      <c r="L732" s="155" t="s">
        <v>343</v>
      </c>
      <c r="M732" s="76"/>
      <c r="N732" s="613">
        <f>SUM(N728:N731)</f>
        <v>990</v>
      </c>
      <c r="O732" s="613"/>
    </row>
    <row r="733" spans="1:20">
      <c r="N733" s="21"/>
      <c r="O733" s="21"/>
    </row>
    <row r="734" spans="1:20">
      <c r="B734" t="s">
        <v>23</v>
      </c>
      <c r="F734" s="582">
        <f>$J$726</f>
        <v>10</v>
      </c>
      <c r="G734" s="601"/>
      <c r="H734" t="s">
        <v>13</v>
      </c>
      <c r="I734" s="48" t="s">
        <v>0</v>
      </c>
      <c r="J734" s="2">
        <f>$F$734</f>
        <v>10</v>
      </c>
      <c r="K734" t="s">
        <v>1</v>
      </c>
      <c r="L734" s="602">
        <f>N732*1</f>
        <v>990</v>
      </c>
      <c r="M734" s="603"/>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582">
        <f>K680*1</f>
        <v>104.86</v>
      </c>
      <c r="K739" s="582"/>
      <c r="L739" s="600" t="s">
        <v>272</v>
      </c>
      <c r="M739" s="600"/>
      <c r="N739" s="18"/>
      <c r="O739" s="18"/>
      <c r="P739" s="18"/>
      <c r="Q739" s="18"/>
      <c r="R739" s="18"/>
      <c r="S739" s="25"/>
      <c r="T739" s="57"/>
    </row>
    <row r="740" spans="1:20" ht="14.25">
      <c r="F740" s="577" t="s">
        <v>332</v>
      </c>
      <c r="G740" s="577"/>
      <c r="H740" s="601">
        <v>121.13</v>
      </c>
      <c r="I740" s="601"/>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582">
        <f>K681*1</f>
        <v>22.8</v>
      </c>
      <c r="K742" s="582"/>
      <c r="L742" s="600" t="s">
        <v>272</v>
      </c>
      <c r="M742" s="600"/>
      <c r="N742" s="18"/>
      <c r="O742" s="18"/>
      <c r="P742" s="18"/>
      <c r="Q742" s="18"/>
      <c r="R742" s="18"/>
      <c r="S742" s="25"/>
      <c r="T742" s="57"/>
    </row>
    <row r="743" spans="1:20" ht="14.25">
      <c r="F743" s="577" t="s">
        <v>332</v>
      </c>
      <c r="G743" s="577"/>
      <c r="H743" s="582">
        <v>35.700000000000003</v>
      </c>
      <c r="I743" s="582"/>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611" t="s">
        <v>26</v>
      </c>
      <c r="Q745" s="611"/>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610" t="s">
        <v>321</v>
      </c>
      <c r="P749" s="610"/>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612" t="s">
        <v>241</v>
      </c>
      <c r="C768" s="612"/>
      <c r="D768" s="612"/>
      <c r="E768" s="612"/>
      <c r="F768" s="612"/>
      <c r="G768" s="612"/>
      <c r="H768" s="612"/>
      <c r="I768" s="612"/>
      <c r="J768" s="612"/>
      <c r="K768" s="612"/>
      <c r="L768" s="612"/>
      <c r="N768" s="612" t="s">
        <v>238</v>
      </c>
      <c r="O768" s="612"/>
      <c r="P768" s="612"/>
      <c r="Q768" s="612"/>
      <c r="R768" s="612"/>
      <c r="S768" s="612"/>
      <c r="T768" s="612"/>
    </row>
    <row r="769" spans="2:20">
      <c r="B769" s="612" t="s">
        <v>235</v>
      </c>
      <c r="C769" s="612"/>
      <c r="D769" s="612"/>
      <c r="E769" s="612"/>
      <c r="F769" s="612"/>
      <c r="G769" s="612"/>
      <c r="H769" s="612"/>
      <c r="I769" s="612"/>
      <c r="J769" s="612"/>
      <c r="K769" s="612"/>
      <c r="L769" s="612"/>
      <c r="N769" s="612" t="s">
        <v>239</v>
      </c>
      <c r="O769" s="612"/>
      <c r="P769" s="612"/>
      <c r="Q769" s="612"/>
      <c r="R769" s="612"/>
      <c r="S769" s="612"/>
      <c r="T769" s="612"/>
    </row>
    <row r="770" spans="2:20">
      <c r="B770" s="612" t="s">
        <v>240</v>
      </c>
      <c r="C770" s="612"/>
      <c r="D770" s="612"/>
      <c r="E770" s="612"/>
      <c r="F770" s="612"/>
      <c r="G770" s="612"/>
      <c r="H770" s="612"/>
      <c r="I770" s="612"/>
      <c r="J770" s="612"/>
      <c r="K770" s="612"/>
      <c r="L770" s="612"/>
      <c r="N770" s="612" t="s">
        <v>240</v>
      </c>
      <c r="O770" s="612"/>
      <c r="P770" s="612"/>
      <c r="Q770" s="612"/>
      <c r="R770" s="612"/>
      <c r="S770" s="612"/>
      <c r="T770" s="612"/>
    </row>
  </sheetData>
  <mergeCells count="691">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P403:Q403"/>
    <mergeCell ref="P410:Q410"/>
    <mergeCell ref="B412:Q412"/>
    <mergeCell ref="K427:L427"/>
    <mergeCell ref="M427:N427"/>
    <mergeCell ref="K428:L428"/>
    <mergeCell ref="M428:N428"/>
    <mergeCell ref="M418:N418"/>
    <mergeCell ref="M424:N424"/>
    <mergeCell ref="H421:I421"/>
    <mergeCell ref="H422:I422"/>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J340:K340"/>
    <mergeCell ref="L340:M340"/>
    <mergeCell ref="B343:Q343"/>
    <mergeCell ref="B344:Q344"/>
    <mergeCell ref="Q330:Q331"/>
    <mergeCell ref="J333:K333"/>
    <mergeCell ref="L333:M333"/>
    <mergeCell ref="B336:Q336"/>
    <mergeCell ref="M330:M331"/>
    <mergeCell ref="N330:N331"/>
    <mergeCell ref="O330:O331"/>
    <mergeCell ref="P330:P331"/>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B297:Q297"/>
    <mergeCell ref="G302:H302"/>
    <mergeCell ref="I302:K302"/>
    <mergeCell ref="L302:M302"/>
    <mergeCell ref="P288:P289"/>
    <mergeCell ref="Q288:Q289"/>
    <mergeCell ref="J293:K293"/>
    <mergeCell ref="L293:M293"/>
    <mergeCell ref="N293:O293"/>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E172:F172"/>
    <mergeCell ref="L188:M188"/>
    <mergeCell ref="L173:M173"/>
    <mergeCell ref="N199:O199"/>
    <mergeCell ref="N198:O198"/>
    <mergeCell ref="K86:K87"/>
    <mergeCell ref="G102:G103"/>
    <mergeCell ref="E104:E105"/>
    <mergeCell ref="P104:P105"/>
    <mergeCell ref="O102:O103"/>
    <mergeCell ref="N94:O94"/>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J549:K549"/>
    <mergeCell ref="L549:M549"/>
    <mergeCell ref="N549:O549"/>
    <mergeCell ref="B553:Q553"/>
    <mergeCell ref="G569:G570"/>
    <mergeCell ref="G558:H558"/>
    <mergeCell ref="I558:K558"/>
    <mergeCell ref="L558:M558"/>
    <mergeCell ref="P561:Q561"/>
    <mergeCell ref="P567:Q567"/>
    <mergeCell ref="B568:Q568"/>
    <mergeCell ref="B571:B572"/>
    <mergeCell ref="C571:C572"/>
    <mergeCell ref="D571:D572"/>
    <mergeCell ref="E571:E572"/>
    <mergeCell ref="F571:F572"/>
    <mergeCell ref="B569:B570"/>
    <mergeCell ref="C569:C570"/>
    <mergeCell ref="D569:D570"/>
    <mergeCell ref="E569:E570"/>
    <mergeCell ref="F569:F570"/>
    <mergeCell ref="L571:L572"/>
    <mergeCell ref="O571:O572"/>
    <mergeCell ref="P571:P572"/>
    <mergeCell ref="Q571:Q572"/>
    <mergeCell ref="K569:K570"/>
    <mergeCell ref="L569:L570"/>
    <mergeCell ref="O569:O570"/>
    <mergeCell ref="P569:P570"/>
    <mergeCell ref="Q569:Q570"/>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s>
  <phoneticPr fontId="5" type="noConversion"/>
  <pageMargins left="0.9" right="0.3" top="0.5" bottom="0.4" header="0.3" footer="0.25"/>
  <pageSetup orientation="portrait" horizontalDpi="4294967294" verticalDpi="180" r:id="rId1"/>
  <headerFooter alignWithMargins="0"/>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605" t="s">
        <v>83</v>
      </c>
      <c r="B2" s="605"/>
      <c r="C2" s="605"/>
      <c r="D2" s="605"/>
      <c r="E2" s="605"/>
      <c r="F2" s="605"/>
      <c r="G2" s="605"/>
      <c r="H2" s="605"/>
      <c r="I2" s="605"/>
      <c r="J2" s="605"/>
      <c r="K2" s="605"/>
      <c r="L2" s="605"/>
      <c r="M2" s="605"/>
      <c r="N2" s="605"/>
      <c r="O2" s="605"/>
      <c r="P2" s="605"/>
      <c r="Q2" s="605"/>
      <c r="R2" s="605"/>
      <c r="S2" s="605"/>
      <c r="T2" s="605"/>
    </row>
    <row r="3" spans="1:20">
      <c r="A3" s="59"/>
      <c r="B3" s="674" t="s">
        <v>84</v>
      </c>
      <c r="C3" s="674"/>
      <c r="D3" s="674"/>
      <c r="E3" s="674"/>
      <c r="F3" s="674"/>
      <c r="G3" s="674"/>
      <c r="H3" s="674"/>
      <c r="I3" s="674"/>
      <c r="J3" s="674"/>
      <c r="K3" s="674"/>
      <c r="L3" s="674"/>
      <c r="M3" s="674"/>
      <c r="N3" s="674"/>
      <c r="O3" s="674"/>
      <c r="P3" s="674"/>
      <c r="Q3" s="674"/>
      <c r="R3" s="674"/>
      <c r="S3" s="674"/>
      <c r="T3" s="59"/>
    </row>
    <row r="4" spans="1:20" ht="40.5" customHeight="1">
      <c r="B4" s="642" t="s">
        <v>256</v>
      </c>
      <c r="C4" s="642"/>
      <c r="D4" s="642"/>
      <c r="E4" s="642"/>
      <c r="F4" s="642"/>
      <c r="G4" s="642"/>
      <c r="H4" s="642"/>
      <c r="I4" s="642"/>
      <c r="J4" s="642"/>
      <c r="K4" s="642"/>
      <c r="L4" s="642"/>
      <c r="M4" s="642"/>
      <c r="N4" s="642"/>
      <c r="O4" s="642"/>
      <c r="P4" s="642"/>
      <c r="Q4" s="642"/>
      <c r="R4" s="642"/>
      <c r="S4" s="642"/>
    </row>
    <row r="6" spans="1:20" ht="67.5" customHeight="1">
      <c r="A6" s="54" t="s">
        <v>32</v>
      </c>
      <c r="B6" s="627" t="s">
        <v>30</v>
      </c>
      <c r="C6" s="627"/>
      <c r="D6" s="627"/>
      <c r="E6" s="627"/>
      <c r="F6" s="627"/>
      <c r="G6" s="627"/>
      <c r="H6" s="627"/>
      <c r="I6" s="627"/>
      <c r="J6" s="627"/>
      <c r="K6" s="627"/>
      <c r="L6" s="627"/>
      <c r="M6" s="627"/>
      <c r="N6" s="627"/>
      <c r="O6" s="627"/>
      <c r="P6" s="627"/>
      <c r="Q6" s="627"/>
    </row>
    <row r="7" spans="1:20">
      <c r="A7" s="52"/>
      <c r="B7" s="599" t="s">
        <v>82</v>
      </c>
      <c r="C7" s="599"/>
      <c r="D7" s="599"/>
      <c r="E7" s="599"/>
      <c r="F7" s="599"/>
      <c r="G7" s="599"/>
      <c r="H7" s="599"/>
      <c r="I7" s="599"/>
      <c r="J7" s="599"/>
      <c r="K7" s="599"/>
      <c r="L7" s="599"/>
      <c r="M7" s="599"/>
      <c r="N7" s="599"/>
      <c r="O7" s="599"/>
      <c r="P7" s="599"/>
      <c r="Q7" s="599"/>
    </row>
    <row r="8" spans="1:20">
      <c r="A8" s="42"/>
      <c r="B8" s="599" t="s">
        <v>31</v>
      </c>
      <c r="C8" s="599"/>
      <c r="D8" s="599"/>
      <c r="E8" s="599"/>
      <c r="F8" s="599"/>
      <c r="G8" s="599"/>
      <c r="H8" s="599"/>
      <c r="I8" s="599"/>
      <c r="J8" s="599"/>
      <c r="K8" s="599"/>
      <c r="L8" s="599"/>
      <c r="M8" s="599"/>
      <c r="N8" s="599"/>
      <c r="O8" s="599"/>
      <c r="P8" s="599"/>
      <c r="Q8" s="599"/>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613">
        <f>J12*H12*F12*D12</f>
        <v>12.000000000000002</v>
      </c>
      <c r="M12" s="613"/>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596">
        <f>J14*H14*F14*D14</f>
        <v>7.1999999999999993</v>
      </c>
      <c r="M14" s="596"/>
      <c r="N14" s="84" t="s">
        <v>7</v>
      </c>
      <c r="O14" s="79"/>
      <c r="P14" s="72"/>
      <c r="Q14" s="18"/>
      <c r="R14" s="18"/>
      <c r="S14" s="18"/>
      <c r="T14" s="18"/>
    </row>
    <row r="15" spans="1:20" ht="14.25">
      <c r="A15" s="18"/>
      <c r="B15" s="56"/>
      <c r="C15" s="35"/>
      <c r="D15" s="33"/>
      <c r="E15" s="33"/>
      <c r="F15" s="34"/>
      <c r="G15" s="33"/>
      <c r="H15" s="34"/>
      <c r="I15" s="33"/>
      <c r="J15" s="34" t="s">
        <v>88</v>
      </c>
      <c r="K15" s="69" t="s">
        <v>0</v>
      </c>
      <c r="L15" s="675">
        <f>SUM(L12:L14)</f>
        <v>19.200000000000003</v>
      </c>
      <c r="M15" s="675"/>
      <c r="N15" s="72" t="s">
        <v>7</v>
      </c>
      <c r="O15" s="79"/>
      <c r="P15" s="72"/>
      <c r="Q15" s="18"/>
      <c r="R15" s="18"/>
      <c r="S15" s="18"/>
      <c r="T15" s="18"/>
    </row>
    <row r="16" spans="1:20" ht="14.25">
      <c r="B16" s="43"/>
      <c r="C16" s="1"/>
      <c r="F16" s="2"/>
      <c r="H16" s="8" t="s">
        <v>9</v>
      </c>
      <c r="I16" s="582">
        <v>97</v>
      </c>
      <c r="J16" s="582"/>
      <c r="K16" s="597" t="s">
        <v>10</v>
      </c>
      <c r="L16" s="598"/>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599" t="s">
        <v>35</v>
      </c>
      <c r="C19" s="599"/>
      <c r="D19" s="599"/>
      <c r="E19" s="599"/>
      <c r="F19" s="599"/>
      <c r="G19" s="599"/>
      <c r="H19" s="599"/>
      <c r="I19" s="599"/>
      <c r="J19" s="599"/>
      <c r="K19" s="599"/>
      <c r="L19" s="599"/>
      <c r="M19" s="599"/>
      <c r="N19" s="599"/>
      <c r="O19" s="599"/>
      <c r="P19" s="599"/>
      <c r="Q19" s="599"/>
      <c r="R19" s="29"/>
      <c r="S19" s="16"/>
      <c r="T19" s="2"/>
    </row>
    <row r="20" spans="1:20" ht="14.25">
      <c r="B20" s="43"/>
      <c r="C20" s="69" t="s">
        <v>0</v>
      </c>
      <c r="D20" s="78">
        <v>2</v>
      </c>
      <c r="E20" s="39" t="s">
        <v>1</v>
      </c>
      <c r="F20" s="37">
        <v>10</v>
      </c>
      <c r="G20" s="39" t="s">
        <v>1</v>
      </c>
      <c r="H20" s="34">
        <v>0.4</v>
      </c>
      <c r="I20" s="33" t="s">
        <v>1</v>
      </c>
      <c r="J20" s="34">
        <v>1.5</v>
      </c>
      <c r="K20" s="69" t="s">
        <v>0</v>
      </c>
      <c r="L20" s="613">
        <f>J20*H20*F20*D20</f>
        <v>12.000000000000002</v>
      </c>
      <c r="M20" s="613"/>
      <c r="N20" s="72" t="s">
        <v>7</v>
      </c>
      <c r="O20" s="79"/>
      <c r="P20" s="72"/>
      <c r="R20" s="29"/>
      <c r="S20" s="16"/>
      <c r="T20" s="2"/>
    </row>
    <row r="21" spans="1:20" ht="14.25">
      <c r="B21" s="43"/>
      <c r="C21" s="1"/>
      <c r="F21" s="2"/>
      <c r="H21" s="8" t="s">
        <v>9</v>
      </c>
      <c r="I21" s="582">
        <v>1750</v>
      </c>
      <c r="J21" s="582"/>
      <c r="K21" s="597" t="s">
        <v>10</v>
      </c>
      <c r="L21" s="598"/>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599" t="s">
        <v>87</v>
      </c>
      <c r="C24" s="599"/>
      <c r="D24" s="599"/>
      <c r="E24" s="599"/>
      <c r="F24" s="599"/>
      <c r="G24" s="599"/>
      <c r="H24" s="599"/>
      <c r="I24" s="599"/>
      <c r="J24" s="599"/>
      <c r="K24" s="599"/>
      <c r="L24" s="599"/>
      <c r="M24" s="599"/>
      <c r="N24" s="599"/>
      <c r="O24" s="599"/>
      <c r="P24" s="599"/>
      <c r="Q24" s="599"/>
    </row>
    <row r="25" spans="1:20" ht="14.25">
      <c r="B25" s="5"/>
      <c r="C25" s="69" t="s">
        <v>0</v>
      </c>
      <c r="D25" s="78">
        <v>1</v>
      </c>
      <c r="E25" s="39" t="s">
        <v>1</v>
      </c>
      <c r="F25" s="37">
        <v>10</v>
      </c>
      <c r="G25" s="39" t="s">
        <v>1</v>
      </c>
      <c r="H25" s="34">
        <v>0.6</v>
      </c>
      <c r="I25" s="33" t="s">
        <v>1</v>
      </c>
      <c r="J25" s="34">
        <v>0.15</v>
      </c>
      <c r="K25" s="69" t="s">
        <v>0</v>
      </c>
      <c r="L25" s="613">
        <f>J25*H25*F25*D25</f>
        <v>0.89999999999999991</v>
      </c>
      <c r="M25" s="613"/>
      <c r="N25" s="72" t="s">
        <v>7</v>
      </c>
      <c r="O25" s="79"/>
      <c r="P25" s="72"/>
      <c r="R25" s="29"/>
      <c r="S25" s="16"/>
      <c r="T25" s="2"/>
    </row>
    <row r="26" spans="1:20" ht="14.25">
      <c r="B26" s="83"/>
      <c r="C26" s="1"/>
      <c r="F26" s="2"/>
      <c r="H26" s="8" t="s">
        <v>9</v>
      </c>
      <c r="I26" s="582">
        <v>480</v>
      </c>
      <c r="J26" s="582"/>
      <c r="K26" s="597" t="s">
        <v>10</v>
      </c>
      <c r="L26" s="598"/>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627" t="s">
        <v>34</v>
      </c>
      <c r="C29" s="627"/>
      <c r="D29" s="627"/>
      <c r="E29" s="627"/>
      <c r="F29" s="627"/>
      <c r="G29" s="627"/>
      <c r="H29" s="627"/>
      <c r="I29" s="627"/>
      <c r="J29" s="627"/>
      <c r="K29" s="627"/>
      <c r="L29" s="627"/>
      <c r="M29" s="627"/>
      <c r="N29" s="627"/>
      <c r="O29" s="627"/>
      <c r="P29" s="627"/>
      <c r="Q29" s="627"/>
    </row>
    <row r="30" spans="1:20" ht="14.25">
      <c r="B30" s="75"/>
      <c r="C30" s="69" t="s">
        <v>0</v>
      </c>
      <c r="D30" s="78">
        <v>1</v>
      </c>
      <c r="E30" s="39" t="s">
        <v>1</v>
      </c>
      <c r="F30" s="37">
        <v>10</v>
      </c>
      <c r="G30" s="39" t="s">
        <v>1</v>
      </c>
      <c r="H30" s="34">
        <v>0.6</v>
      </c>
      <c r="I30" s="33" t="s">
        <v>1</v>
      </c>
      <c r="J30" s="34">
        <v>0.1</v>
      </c>
      <c r="K30" s="69" t="s">
        <v>0</v>
      </c>
      <c r="L30" s="613">
        <f>J30*H30*F30*D30</f>
        <v>0.6</v>
      </c>
      <c r="M30" s="613"/>
      <c r="N30" s="72" t="s">
        <v>7</v>
      </c>
      <c r="O30" s="79"/>
      <c r="P30" s="72"/>
      <c r="R30" s="29"/>
      <c r="S30" s="16"/>
      <c r="T30" s="2"/>
    </row>
    <row r="31" spans="1:20" ht="14.25">
      <c r="B31" s="75"/>
      <c r="C31" s="1"/>
      <c r="F31" s="2"/>
      <c r="H31" s="8" t="s">
        <v>9</v>
      </c>
      <c r="I31" s="582">
        <v>2065</v>
      </c>
      <c r="J31" s="582"/>
      <c r="K31" s="597" t="s">
        <v>10</v>
      </c>
      <c r="L31" s="598"/>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641" t="s">
        <v>29</v>
      </c>
      <c r="Q37" s="641"/>
      <c r="R37" s="50" t="s">
        <v>0</v>
      </c>
      <c r="S37" s="49" t="s">
        <v>11</v>
      </c>
      <c r="T37" s="28">
        <f>SUM(T16:T31)</f>
        <v>24533</v>
      </c>
    </row>
    <row r="42" spans="1:20">
      <c r="P42" s="641" t="s">
        <v>120</v>
      </c>
      <c r="Q42" s="641"/>
      <c r="R42" s="50" t="s">
        <v>0</v>
      </c>
      <c r="S42" s="49" t="s">
        <v>11</v>
      </c>
      <c r="T42" s="28">
        <v>24533</v>
      </c>
    </row>
    <row r="43" spans="1:20" ht="37.5" customHeight="1">
      <c r="A43" s="54" t="s">
        <v>92</v>
      </c>
      <c r="B43" s="599" t="s">
        <v>93</v>
      </c>
      <c r="C43" s="599"/>
      <c r="D43" s="599"/>
      <c r="E43" s="599"/>
      <c r="F43" s="599"/>
      <c r="G43" s="599"/>
      <c r="H43" s="599"/>
      <c r="I43" s="599"/>
      <c r="J43" s="599"/>
      <c r="K43" s="599"/>
      <c r="L43" s="599"/>
      <c r="M43" s="599"/>
      <c r="N43" s="599"/>
      <c r="O43" s="599"/>
      <c r="P43" s="599"/>
      <c r="Q43" s="599"/>
    </row>
    <row r="44" spans="1:20">
      <c r="B44" t="s">
        <v>94</v>
      </c>
    </row>
    <row r="45" spans="1:20" ht="15" customHeight="1">
      <c r="B45" t="s">
        <v>96</v>
      </c>
      <c r="G45" s="86" t="s">
        <v>95</v>
      </c>
      <c r="H45" t="s">
        <v>97</v>
      </c>
    </row>
    <row r="46" spans="1:20">
      <c r="D46" s="69" t="s">
        <v>0</v>
      </c>
      <c r="F46">
        <v>101</v>
      </c>
      <c r="G46" t="s">
        <v>1</v>
      </c>
      <c r="H46" s="2">
        <v>1.5</v>
      </c>
      <c r="I46" s="69" t="s">
        <v>0</v>
      </c>
      <c r="J46" s="576">
        <f>H46*F46</f>
        <v>151.5</v>
      </c>
      <c r="K46" s="576"/>
      <c r="L46" t="s">
        <v>13</v>
      </c>
    </row>
    <row r="47" spans="1:20">
      <c r="F47" s="595" t="s">
        <v>98</v>
      </c>
      <c r="G47" s="595"/>
      <c r="H47">
        <v>0.62</v>
      </c>
      <c r="I47" t="s">
        <v>99</v>
      </c>
      <c r="M47" s="69" t="s">
        <v>0</v>
      </c>
      <c r="N47" s="581">
        <f>J46*H47</f>
        <v>93.929999999999993</v>
      </c>
      <c r="O47" s="581"/>
      <c r="P47" t="s">
        <v>100</v>
      </c>
    </row>
    <row r="48" spans="1:20" ht="8.25" customHeight="1"/>
    <row r="49" spans="1:20" ht="15">
      <c r="B49" t="s">
        <v>102</v>
      </c>
      <c r="G49" s="86"/>
      <c r="I49" s="85" t="s">
        <v>95</v>
      </c>
      <c r="J49" t="s">
        <v>97</v>
      </c>
    </row>
    <row r="50" spans="1:20">
      <c r="D50" s="69" t="s">
        <v>0</v>
      </c>
      <c r="F50">
        <v>101</v>
      </c>
      <c r="G50" t="s">
        <v>1</v>
      </c>
      <c r="H50" s="2">
        <v>1.5</v>
      </c>
      <c r="I50" s="69" t="s">
        <v>0</v>
      </c>
      <c r="J50" s="576">
        <f>H50*F50</f>
        <v>151.5</v>
      </c>
      <c r="K50" s="576"/>
      <c r="L50" t="s">
        <v>13</v>
      </c>
    </row>
    <row r="51" spans="1:20">
      <c r="F51" s="595" t="s">
        <v>98</v>
      </c>
      <c r="G51" s="595"/>
      <c r="H51">
        <v>0.89</v>
      </c>
      <c r="I51" t="s">
        <v>99</v>
      </c>
      <c r="M51" s="69" t="s">
        <v>0</v>
      </c>
      <c r="N51" s="581">
        <f>J50*H51</f>
        <v>134.83500000000001</v>
      </c>
      <c r="O51" s="581"/>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576">
        <f>H54*F54*D54</f>
        <v>200</v>
      </c>
      <c r="K54" s="576"/>
      <c r="L54" t="s">
        <v>13</v>
      </c>
    </row>
    <row r="55" spans="1:20">
      <c r="F55" s="595" t="s">
        <v>98</v>
      </c>
      <c r="G55" s="595"/>
      <c r="H55">
        <v>0.39</v>
      </c>
      <c r="I55" t="s">
        <v>99</v>
      </c>
      <c r="L55" s="13"/>
      <c r="M55" s="46" t="s">
        <v>0</v>
      </c>
      <c r="N55" s="656">
        <f>J54*H55</f>
        <v>78</v>
      </c>
      <c r="O55" s="656"/>
      <c r="P55" s="13" t="s">
        <v>100</v>
      </c>
    </row>
    <row r="56" spans="1:20">
      <c r="L56" s="20" t="s">
        <v>88</v>
      </c>
      <c r="M56" s="69" t="s">
        <v>0</v>
      </c>
      <c r="N56" s="581">
        <f>SUM(N47:N55)</f>
        <v>306.76499999999999</v>
      </c>
      <c r="O56" s="581"/>
      <c r="P56" t="s">
        <v>100</v>
      </c>
    </row>
    <row r="57" spans="1:20">
      <c r="M57" s="69" t="s">
        <v>0</v>
      </c>
      <c r="N57" s="581">
        <f>ROUND(N56/1000,3)</f>
        <v>0.307</v>
      </c>
      <c r="O57" s="581"/>
      <c r="P57" t="s">
        <v>103</v>
      </c>
    </row>
    <row r="58" spans="1:20">
      <c r="F58" s="8" t="s">
        <v>9</v>
      </c>
      <c r="G58" s="577">
        <v>26217</v>
      </c>
      <c r="H58" s="577"/>
      <c r="I58" s="577"/>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599" t="s">
        <v>106</v>
      </c>
      <c r="C61" s="599"/>
      <c r="D61" s="599"/>
      <c r="E61" s="599"/>
      <c r="F61" s="599"/>
      <c r="G61" s="599"/>
      <c r="H61" s="599"/>
      <c r="I61" s="599"/>
      <c r="J61" s="599"/>
      <c r="K61" s="599"/>
      <c r="L61" s="599"/>
      <c r="M61" s="599"/>
      <c r="N61" s="599"/>
      <c r="O61" s="599"/>
      <c r="P61" s="599"/>
      <c r="Q61" s="599"/>
    </row>
    <row r="62" spans="1:20" ht="14.25">
      <c r="C62" s="69" t="s">
        <v>0</v>
      </c>
      <c r="D62">
        <v>1</v>
      </c>
      <c r="E62" t="s">
        <v>1</v>
      </c>
      <c r="F62" s="2">
        <v>10</v>
      </c>
      <c r="G62" t="s">
        <v>1</v>
      </c>
      <c r="H62" s="2">
        <v>2.1</v>
      </c>
      <c r="I62" t="s">
        <v>1</v>
      </c>
      <c r="J62" s="2">
        <v>0.1</v>
      </c>
      <c r="K62" s="69" t="s">
        <v>0</v>
      </c>
      <c r="L62" s="576">
        <f>J62*H62*F62*D62</f>
        <v>2.1</v>
      </c>
      <c r="M62" s="576"/>
      <c r="N62" t="s">
        <v>7</v>
      </c>
    </row>
    <row r="63" spans="1:20" ht="14.25">
      <c r="H63" s="8" t="s">
        <v>9</v>
      </c>
      <c r="I63" s="582">
        <v>3986</v>
      </c>
      <c r="J63" s="582"/>
      <c r="K63" s="597" t="s">
        <v>10</v>
      </c>
      <c r="L63" s="598"/>
      <c r="R63" s="29" t="s">
        <v>0</v>
      </c>
      <c r="S63" s="16" t="s">
        <v>11</v>
      </c>
      <c r="T63" s="2">
        <f>ROUND(L62*I63,0)</f>
        <v>8371</v>
      </c>
    </row>
    <row r="66" spans="1:20" ht="38.25">
      <c r="A66" s="54" t="s">
        <v>108</v>
      </c>
      <c r="B66" s="617" t="s">
        <v>107</v>
      </c>
      <c r="C66" s="617"/>
      <c r="D66" s="617"/>
      <c r="E66" s="617"/>
      <c r="F66" s="617"/>
      <c r="G66" s="617"/>
      <c r="H66" s="617"/>
      <c r="I66" s="617"/>
      <c r="J66" s="617"/>
      <c r="K66" s="617"/>
      <c r="L66" s="617"/>
      <c r="M66" s="617"/>
      <c r="N66" s="617"/>
      <c r="O66" s="617"/>
      <c r="P66" s="617"/>
      <c r="Q66" s="617"/>
    </row>
    <row r="67" spans="1:20" ht="14.25">
      <c r="C67" s="69" t="s">
        <v>0</v>
      </c>
      <c r="D67" s="78">
        <v>1</v>
      </c>
      <c r="E67" s="39" t="s">
        <v>1</v>
      </c>
      <c r="F67" s="37">
        <v>10</v>
      </c>
      <c r="G67" s="39" t="s">
        <v>1</v>
      </c>
      <c r="H67" s="34">
        <v>2.5</v>
      </c>
      <c r="I67" s="33"/>
      <c r="J67" s="34"/>
      <c r="K67" s="69" t="s">
        <v>0</v>
      </c>
      <c r="L67" s="613">
        <f>H67*F67*D67</f>
        <v>25</v>
      </c>
      <c r="M67" s="613"/>
      <c r="N67" s="72" t="s">
        <v>7</v>
      </c>
      <c r="O67" s="79"/>
      <c r="P67" s="72"/>
      <c r="R67" s="29"/>
      <c r="S67" s="16"/>
      <c r="T67" s="2"/>
    </row>
    <row r="68" spans="1:20" ht="14.25">
      <c r="C68" s="1"/>
      <c r="F68" s="2"/>
      <c r="H68" s="8" t="s">
        <v>9</v>
      </c>
      <c r="I68" s="582">
        <v>68</v>
      </c>
      <c r="J68" s="582"/>
      <c r="K68" s="597" t="s">
        <v>10</v>
      </c>
      <c r="L68" s="598"/>
      <c r="R68" s="29" t="s">
        <v>0</v>
      </c>
      <c r="S68" s="16" t="s">
        <v>11</v>
      </c>
      <c r="T68" s="2">
        <f>ROUND(L67*I68,0)</f>
        <v>1700</v>
      </c>
    </row>
    <row r="69" spans="1:20" ht="10.5" customHeight="1"/>
    <row r="70" spans="1:20" ht="10.5" customHeight="1"/>
    <row r="71" spans="1:20" ht="26.25" customHeight="1">
      <c r="A71" s="98" t="s">
        <v>223</v>
      </c>
      <c r="B71" s="615" t="s">
        <v>211</v>
      </c>
      <c r="C71" s="615"/>
      <c r="D71" s="615"/>
      <c r="E71" s="615"/>
      <c r="F71" s="615"/>
      <c r="G71" s="615"/>
      <c r="H71" s="615"/>
      <c r="I71" s="615"/>
      <c r="J71" s="615"/>
      <c r="K71" s="615"/>
      <c r="L71" s="615"/>
      <c r="M71" s="615"/>
      <c r="N71" s="615"/>
      <c r="O71" s="615"/>
      <c r="P71" s="615"/>
      <c r="Q71" s="615"/>
    </row>
    <row r="72" spans="1:20">
      <c r="A72" s="95">
        <v>1.2</v>
      </c>
      <c r="B72" s="617" t="s">
        <v>109</v>
      </c>
      <c r="C72" s="617"/>
      <c r="D72" s="617"/>
      <c r="E72" s="617"/>
      <c r="F72" s="617"/>
      <c r="G72" s="617"/>
      <c r="H72" s="617"/>
      <c r="I72" s="617"/>
      <c r="J72" s="617"/>
      <c r="K72" s="617"/>
      <c r="L72" s="617"/>
      <c r="M72" s="617"/>
      <c r="N72" s="617"/>
      <c r="O72" s="617"/>
      <c r="P72" s="617"/>
      <c r="Q72" s="617"/>
    </row>
    <row r="73" spans="1:20">
      <c r="B73" t="s">
        <v>110</v>
      </c>
    </row>
    <row r="74" spans="1:20" ht="14.25">
      <c r="B74" t="s">
        <v>111</v>
      </c>
      <c r="I74" s="69" t="s">
        <v>0</v>
      </c>
      <c r="J74" s="2">
        <f>$L$20</f>
        <v>12.000000000000002</v>
      </c>
      <c r="K74" t="s">
        <v>1</v>
      </c>
      <c r="L74">
        <v>1.1599999999999999</v>
      </c>
      <c r="M74" s="69" t="s">
        <v>0</v>
      </c>
      <c r="N74" s="581">
        <f>L74*J74</f>
        <v>13.920000000000002</v>
      </c>
      <c r="O74" s="581"/>
      <c r="P74" t="s">
        <v>7</v>
      </c>
    </row>
    <row r="75" spans="1:20" ht="14.25">
      <c r="B75" t="s">
        <v>112</v>
      </c>
      <c r="I75" s="69" t="s">
        <v>0</v>
      </c>
      <c r="J75" s="2">
        <f>$L$25</f>
        <v>0.89999999999999991</v>
      </c>
      <c r="K75" t="s">
        <v>1</v>
      </c>
      <c r="L75">
        <v>1.1599999999999999</v>
      </c>
      <c r="M75" s="69" t="s">
        <v>0</v>
      </c>
      <c r="N75" s="581">
        <f>L75*J75</f>
        <v>1.0439999999999998</v>
      </c>
      <c r="O75" s="581"/>
      <c r="P75" t="s">
        <v>7</v>
      </c>
    </row>
    <row r="76" spans="1:20" ht="14.25">
      <c r="B76" t="s">
        <v>113</v>
      </c>
      <c r="I76" s="69" t="s">
        <v>0</v>
      </c>
      <c r="J76" s="2">
        <f>$L$30</f>
        <v>0.6</v>
      </c>
      <c r="K76" t="s">
        <v>1</v>
      </c>
      <c r="L76">
        <v>0.85</v>
      </c>
      <c r="M76" s="69" t="s">
        <v>0</v>
      </c>
      <c r="N76" s="576">
        <f>L76*J76</f>
        <v>0.51</v>
      </c>
      <c r="O76" s="576"/>
      <c r="P76" t="s">
        <v>7</v>
      </c>
    </row>
    <row r="77" spans="1:20" ht="14.25">
      <c r="B77" t="s">
        <v>114</v>
      </c>
      <c r="I77" s="69" t="s">
        <v>0</v>
      </c>
      <c r="J77" s="2">
        <f>$L$62</f>
        <v>2.1</v>
      </c>
      <c r="K77" t="s">
        <v>1</v>
      </c>
      <c r="L77" s="13">
        <v>0.85</v>
      </c>
      <c r="M77" s="46" t="s">
        <v>0</v>
      </c>
      <c r="N77" s="656">
        <f>L77*J77</f>
        <v>1.7849999999999999</v>
      </c>
      <c r="O77" s="656"/>
      <c r="P77" s="13" t="s">
        <v>7</v>
      </c>
    </row>
    <row r="78" spans="1:20" ht="14.25">
      <c r="L78" s="20" t="s">
        <v>88</v>
      </c>
      <c r="M78" s="69" t="s">
        <v>0</v>
      </c>
      <c r="N78" s="576">
        <f>SUM(N74:O77)</f>
        <v>17.259</v>
      </c>
      <c r="O78" s="576"/>
      <c r="P78" t="s">
        <v>7</v>
      </c>
    </row>
    <row r="79" spans="1:20" ht="8.25" customHeight="1"/>
    <row r="80" spans="1:20">
      <c r="B80" t="s">
        <v>115</v>
      </c>
    </row>
    <row r="81" spans="1:20" ht="14.25">
      <c r="B81" t="s">
        <v>111</v>
      </c>
      <c r="I81" s="69" t="s">
        <v>0</v>
      </c>
      <c r="J81" s="2">
        <f>$L$20</f>
        <v>12.000000000000002</v>
      </c>
      <c r="K81" t="s">
        <v>1</v>
      </c>
      <c r="L81">
        <v>0.35</v>
      </c>
      <c r="M81" s="69" t="s">
        <v>0</v>
      </c>
      <c r="N81" s="576">
        <f>L81*J81</f>
        <v>4.2</v>
      </c>
      <c r="O81" s="576"/>
      <c r="P81" t="s">
        <v>7</v>
      </c>
    </row>
    <row r="82" spans="1:20" ht="14.25">
      <c r="B82" t="s">
        <v>116</v>
      </c>
      <c r="I82" s="69" t="s">
        <v>0</v>
      </c>
      <c r="J82" s="2">
        <v>0.6</v>
      </c>
      <c r="K82" t="s">
        <v>1</v>
      </c>
      <c r="L82">
        <v>0.45</v>
      </c>
      <c r="M82" s="69" t="s">
        <v>0</v>
      </c>
      <c r="N82" s="581">
        <f>L82*J82</f>
        <v>0.27</v>
      </c>
      <c r="O82" s="581"/>
      <c r="P82" t="s">
        <v>7</v>
      </c>
    </row>
    <row r="83" spans="1:20" ht="14.25">
      <c r="B83" t="s">
        <v>117</v>
      </c>
      <c r="I83" s="69" t="s">
        <v>0</v>
      </c>
      <c r="J83" s="2">
        <v>2.1</v>
      </c>
      <c r="K83" t="s">
        <v>1</v>
      </c>
      <c r="L83">
        <v>0.45</v>
      </c>
      <c r="M83" s="69" t="s">
        <v>0</v>
      </c>
      <c r="N83" s="576">
        <f>L83*J83</f>
        <v>0.94500000000000006</v>
      </c>
      <c r="O83" s="576"/>
      <c r="P83" t="s">
        <v>7</v>
      </c>
    </row>
    <row r="84" spans="1:20" ht="14.25">
      <c r="B84" t="s">
        <v>118</v>
      </c>
      <c r="I84" s="69" t="s">
        <v>0</v>
      </c>
      <c r="J84" s="2">
        <f>$L$67</f>
        <v>25</v>
      </c>
      <c r="K84" t="s">
        <v>1</v>
      </c>
      <c r="L84" s="87">
        <v>1.4999999999999999E-2</v>
      </c>
      <c r="M84" s="46" t="s">
        <v>0</v>
      </c>
      <c r="N84" s="656">
        <f>L84*J84</f>
        <v>0.375</v>
      </c>
      <c r="O84" s="656"/>
      <c r="P84" s="13" t="s">
        <v>7</v>
      </c>
    </row>
    <row r="85" spans="1:20" ht="14.25">
      <c r="L85" s="20" t="s">
        <v>88</v>
      </c>
      <c r="M85" s="69" t="s">
        <v>0</v>
      </c>
      <c r="N85" s="576">
        <f>SUM(N81:O84)</f>
        <v>5.7900000000000009</v>
      </c>
      <c r="O85" s="576"/>
      <c r="P85" t="s">
        <v>7</v>
      </c>
    </row>
    <row r="86" spans="1:20">
      <c r="B86" t="s">
        <v>119</v>
      </c>
      <c r="E86" s="69" t="s">
        <v>0</v>
      </c>
      <c r="F86" s="2">
        <f>$N$78</f>
        <v>17.259</v>
      </c>
      <c r="G86" s="1" t="s">
        <v>14</v>
      </c>
      <c r="H86" s="2">
        <f>$N$85</f>
        <v>5.7900000000000009</v>
      </c>
      <c r="I86" s="69" t="s">
        <v>0</v>
      </c>
      <c r="J86" s="2">
        <f>F86+H86</f>
        <v>23.048999999999999</v>
      </c>
    </row>
    <row r="87" spans="1:20" ht="14.25">
      <c r="H87" s="8" t="s">
        <v>9</v>
      </c>
      <c r="I87" s="582">
        <v>53</v>
      </c>
      <c r="J87" s="582"/>
      <c r="K87" s="597" t="s">
        <v>10</v>
      </c>
      <c r="L87" s="598"/>
      <c r="R87" s="32" t="s">
        <v>0</v>
      </c>
      <c r="S87" s="23" t="s">
        <v>11</v>
      </c>
      <c r="T87" s="12">
        <f>ROUND(J86*I87,0)</f>
        <v>1222</v>
      </c>
    </row>
    <row r="88" spans="1:20">
      <c r="P88" s="641" t="s">
        <v>29</v>
      </c>
      <c r="Q88" s="641"/>
      <c r="R88" s="50" t="s">
        <v>0</v>
      </c>
      <c r="S88" s="49" t="s">
        <v>11</v>
      </c>
      <c r="T88" s="28">
        <f>SUM(T42:T87)</f>
        <v>43875</v>
      </c>
    </row>
    <row r="89" spans="1:20">
      <c r="P89" s="585" t="s">
        <v>120</v>
      </c>
      <c r="Q89" s="585"/>
      <c r="R89" s="50" t="s">
        <v>0</v>
      </c>
      <c r="S89" s="49" t="s">
        <v>11</v>
      </c>
      <c r="T89" s="28">
        <v>43875</v>
      </c>
    </row>
    <row r="90" spans="1:20">
      <c r="A90" s="54" t="s">
        <v>121</v>
      </c>
      <c r="B90" s="617" t="s">
        <v>122</v>
      </c>
      <c r="C90" s="617"/>
      <c r="D90" s="617"/>
      <c r="E90" s="617"/>
      <c r="F90" s="617"/>
      <c r="G90" s="617"/>
      <c r="H90" s="617"/>
      <c r="I90" s="617"/>
      <c r="J90" s="617"/>
      <c r="K90" s="617"/>
      <c r="L90" s="617"/>
      <c r="M90" s="617"/>
      <c r="N90" s="617"/>
      <c r="O90" s="617"/>
      <c r="P90" s="617"/>
      <c r="Q90" s="617"/>
    </row>
    <row r="91" spans="1:20">
      <c r="B91" s="3" t="s">
        <v>124</v>
      </c>
    </row>
    <row r="92" spans="1:20">
      <c r="C92" s="598" t="s">
        <v>52</v>
      </c>
      <c r="D92" s="598"/>
      <c r="E92" s="598"/>
      <c r="F92" s="598"/>
      <c r="G92" s="598"/>
      <c r="H92" s="598"/>
      <c r="I92" s="598"/>
      <c r="J92" s="598"/>
      <c r="K92" s="598"/>
    </row>
    <row r="93" spans="1:20">
      <c r="C93" t="s">
        <v>53</v>
      </c>
      <c r="L93" s="17"/>
      <c r="M93" s="17"/>
      <c r="N93" s="17"/>
      <c r="O93" s="9"/>
      <c r="P93" s="10"/>
      <c r="T93" s="11"/>
    </row>
    <row r="94" spans="1:20" ht="14.25">
      <c r="C94" t="s">
        <v>56</v>
      </c>
      <c r="F94" s="22"/>
      <c r="I94" s="24"/>
      <c r="J94" s="24"/>
      <c r="K94" s="47"/>
      <c r="L94" s="17"/>
      <c r="M94" s="60" t="s">
        <v>0</v>
      </c>
      <c r="N94" s="582">
        <f>$N$78</f>
        <v>17.259</v>
      </c>
      <c r="O94" s="582"/>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582">
        <f>$N$78</f>
        <v>17.259</v>
      </c>
      <c r="F96" s="582"/>
      <c r="G96" t="s">
        <v>1</v>
      </c>
      <c r="H96" s="7">
        <v>2.4</v>
      </c>
      <c r="I96" t="s">
        <v>1</v>
      </c>
      <c r="J96" s="36">
        <v>10</v>
      </c>
      <c r="L96" s="17"/>
      <c r="M96" s="60" t="s">
        <v>0</v>
      </c>
      <c r="N96" s="579">
        <f>ROUND(E96*H96*J96,2)</f>
        <v>414.22</v>
      </c>
      <c r="O96" s="579"/>
      <c r="P96" s="65" t="s">
        <v>58</v>
      </c>
      <c r="Q96" s="58"/>
      <c r="R96" s="50"/>
      <c r="S96" s="49"/>
      <c r="T96" s="26"/>
    </row>
    <row r="97" spans="2:20">
      <c r="J97" s="577" t="s">
        <v>9</v>
      </c>
      <c r="K97" s="577"/>
      <c r="L97" s="582">
        <v>3</v>
      </c>
      <c r="M97" s="582"/>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579">
        <f>$N$78</f>
        <v>17.259</v>
      </c>
      <c r="F100" s="579"/>
      <c r="G100" t="s">
        <v>1</v>
      </c>
      <c r="H100" s="7">
        <v>2.4</v>
      </c>
      <c r="I100" t="s">
        <v>1</v>
      </c>
      <c r="J100" s="36">
        <v>1</v>
      </c>
      <c r="L100" s="17"/>
      <c r="M100" s="60" t="s">
        <v>0</v>
      </c>
      <c r="N100" s="579">
        <f>ROUND(E100*H100*J100,2)</f>
        <v>41.42</v>
      </c>
      <c r="O100" s="579"/>
      <c r="P100" s="65" t="s">
        <v>58</v>
      </c>
      <c r="Q100" s="58"/>
      <c r="R100" s="50"/>
      <c r="S100" s="49"/>
      <c r="T100" s="26"/>
    </row>
    <row r="101" spans="2:20">
      <c r="J101" s="577" t="s">
        <v>9</v>
      </c>
      <c r="K101" s="577"/>
      <c r="L101" s="582">
        <v>4.3</v>
      </c>
      <c r="M101" s="582"/>
      <c r="N101" s="9" t="s">
        <v>59</v>
      </c>
      <c r="O101" s="10"/>
      <c r="P101" s="2"/>
      <c r="R101" s="29" t="s">
        <v>0</v>
      </c>
      <c r="S101" s="16" t="s">
        <v>11</v>
      </c>
      <c r="T101" s="66">
        <f>ROUND(N100*L101,0)</f>
        <v>178</v>
      </c>
    </row>
    <row r="102" spans="2:20">
      <c r="R102" s="16"/>
      <c r="S102" s="16"/>
    </row>
    <row r="103" spans="2:20">
      <c r="B103" s="3" t="s">
        <v>123</v>
      </c>
      <c r="R103" s="16"/>
      <c r="S103" s="16"/>
    </row>
    <row r="104" spans="2:20">
      <c r="C104" s="581" t="s">
        <v>54</v>
      </c>
      <c r="D104" s="581"/>
      <c r="E104" s="581"/>
      <c r="F104" s="581"/>
      <c r="G104" s="581"/>
      <c r="H104" s="581"/>
      <c r="I104" s="581"/>
      <c r="J104" s="581"/>
      <c r="K104" s="581"/>
      <c r="R104" s="16"/>
      <c r="S104" s="16"/>
    </row>
    <row r="105" spans="2:20">
      <c r="C105" t="s">
        <v>55</v>
      </c>
      <c r="R105" s="16"/>
      <c r="S105" s="16"/>
    </row>
    <row r="106" spans="2:20" ht="14.25">
      <c r="C106" t="s">
        <v>61</v>
      </c>
      <c r="F106" s="22"/>
      <c r="I106" s="24"/>
      <c r="J106" s="24"/>
      <c r="K106" s="47"/>
      <c r="L106" s="17"/>
      <c r="M106" s="60" t="s">
        <v>0</v>
      </c>
      <c r="N106" s="582">
        <f>$N$85</f>
        <v>5.7900000000000009</v>
      </c>
      <c r="O106" s="582"/>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579">
        <f>$N$85</f>
        <v>5.7900000000000009</v>
      </c>
      <c r="F108" s="579"/>
      <c r="G108" t="s">
        <v>1</v>
      </c>
      <c r="H108" s="7">
        <v>1.84</v>
      </c>
      <c r="I108" t="s">
        <v>1</v>
      </c>
      <c r="J108" s="36">
        <v>14</v>
      </c>
      <c r="L108" s="8"/>
      <c r="M108" s="60" t="s">
        <v>0</v>
      </c>
      <c r="N108" s="579">
        <f>ROUND(E108*H108*J108,2)</f>
        <v>149.15</v>
      </c>
      <c r="O108" s="579"/>
      <c r="P108" s="65" t="s">
        <v>58</v>
      </c>
      <c r="Q108" s="58"/>
      <c r="R108" s="50"/>
      <c r="S108" s="49"/>
      <c r="T108" s="26"/>
    </row>
    <row r="109" spans="2:20">
      <c r="J109" s="577" t="s">
        <v>9</v>
      </c>
      <c r="K109" s="577"/>
      <c r="L109" s="582">
        <v>3</v>
      </c>
      <c r="M109" s="582"/>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579">
        <f>$N$85</f>
        <v>5.7900000000000009</v>
      </c>
      <c r="F112" s="579"/>
      <c r="G112" t="s">
        <v>1</v>
      </c>
      <c r="H112" s="7">
        <v>1.84</v>
      </c>
      <c r="I112" t="s">
        <v>1</v>
      </c>
      <c r="J112" s="36">
        <v>1</v>
      </c>
      <c r="L112" s="17"/>
      <c r="M112" s="60" t="s">
        <v>0</v>
      </c>
      <c r="N112" s="579">
        <f>ROUND(E112*H112*J112,2)</f>
        <v>10.65</v>
      </c>
      <c r="O112" s="579"/>
      <c r="P112" s="65" t="s">
        <v>58</v>
      </c>
      <c r="Q112" s="58"/>
      <c r="R112" s="50"/>
      <c r="S112" s="49"/>
      <c r="T112" s="26"/>
    </row>
    <row r="113" spans="1:20">
      <c r="J113" s="577" t="s">
        <v>9</v>
      </c>
      <c r="K113" s="577"/>
      <c r="L113" s="582">
        <v>4.3</v>
      </c>
      <c r="M113" s="582"/>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582">
        <f>$N$78</f>
        <v>17.259</v>
      </c>
      <c r="K117" s="582"/>
      <c r="L117" s="34" t="s">
        <v>7</v>
      </c>
      <c r="M117" s="33"/>
      <c r="N117" s="18"/>
      <c r="O117" s="18"/>
      <c r="P117" s="18"/>
      <c r="Q117" s="18"/>
      <c r="R117" s="18"/>
      <c r="S117" s="25"/>
      <c r="T117" s="57"/>
    </row>
    <row r="118" spans="1:20" ht="14.25">
      <c r="F118" s="577" t="s">
        <v>9</v>
      </c>
      <c r="G118" s="577"/>
      <c r="H118" s="601">
        <v>98.68</v>
      </c>
      <c r="I118" s="601"/>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582">
        <f>$N$85</f>
        <v>5.7900000000000009</v>
      </c>
      <c r="K120" s="582"/>
      <c r="L120" s="34" t="s">
        <v>7</v>
      </c>
      <c r="M120" s="33"/>
      <c r="N120" s="18"/>
      <c r="O120" s="18"/>
      <c r="P120" s="18"/>
      <c r="Q120" s="18"/>
      <c r="R120" s="18"/>
      <c r="S120" s="25"/>
      <c r="T120" s="57"/>
    </row>
    <row r="121" spans="1:20" ht="14.25">
      <c r="F121" s="577" t="s">
        <v>9</v>
      </c>
      <c r="G121" s="577"/>
      <c r="H121" s="601">
        <v>36.72</v>
      </c>
      <c r="I121" s="601"/>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583" t="s">
        <v>243</v>
      </c>
      <c r="E125" s="583"/>
      <c r="F125" s="583"/>
      <c r="G125" s="583"/>
      <c r="H125" s="583"/>
      <c r="I125" s="583"/>
      <c r="J125" s="583"/>
      <c r="K125" s="671">
        <f>$T$122</f>
        <v>47705</v>
      </c>
      <c r="L125" s="671"/>
      <c r="M125" s="671"/>
      <c r="N125" s="672" t="s">
        <v>242</v>
      </c>
      <c r="O125" s="673"/>
      <c r="P125" s="587">
        <f>ROUND(K125/L126,2)</f>
        <v>4770.5</v>
      </c>
      <c r="Q125" s="670" t="s">
        <v>18</v>
      </c>
      <c r="R125" s="670"/>
    </row>
    <row r="126" spans="1:20">
      <c r="D126" s="583"/>
      <c r="E126" s="583"/>
      <c r="F126" s="583"/>
      <c r="G126" s="583"/>
      <c r="H126" s="583"/>
      <c r="I126" s="583"/>
      <c r="J126" s="583"/>
      <c r="L126" s="7">
        <v>10</v>
      </c>
      <c r="N126" s="673"/>
      <c r="O126" s="673"/>
      <c r="P126" s="587"/>
      <c r="Q126" s="670"/>
      <c r="R126" s="670"/>
    </row>
    <row r="140" spans="2:20">
      <c r="B140" t="s">
        <v>229</v>
      </c>
      <c r="O140" t="s">
        <v>226</v>
      </c>
    </row>
    <row r="141" spans="2:20">
      <c r="B141" t="s">
        <v>230</v>
      </c>
      <c r="O141" t="s">
        <v>227</v>
      </c>
    </row>
    <row r="142" spans="2:20">
      <c r="B142" t="s">
        <v>231</v>
      </c>
      <c r="O142" t="s">
        <v>228</v>
      </c>
    </row>
    <row r="143" spans="2:20">
      <c r="P143" s="3" t="s">
        <v>258</v>
      </c>
    </row>
    <row r="144" spans="2:20" ht="29.25" customHeight="1">
      <c r="B144" s="669" t="s">
        <v>126</v>
      </c>
      <c r="C144" s="669"/>
      <c r="D144" s="669"/>
      <c r="E144" s="669"/>
      <c r="F144" s="669"/>
      <c r="G144" s="669"/>
      <c r="H144" s="669"/>
      <c r="I144" s="669"/>
      <c r="J144" s="669"/>
      <c r="K144" s="669"/>
      <c r="L144" s="669"/>
      <c r="M144" s="669"/>
      <c r="N144" s="669"/>
      <c r="O144" s="669"/>
      <c r="P144" s="669"/>
      <c r="Q144" s="669"/>
      <c r="R144" s="669"/>
      <c r="S144" s="669"/>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627" t="s">
        <v>30</v>
      </c>
      <c r="C146" s="627"/>
      <c r="D146" s="627"/>
      <c r="E146" s="627"/>
      <c r="F146" s="627"/>
      <c r="G146" s="627"/>
      <c r="H146" s="627"/>
      <c r="I146" s="627"/>
      <c r="J146" s="627"/>
      <c r="K146" s="627"/>
      <c r="L146" s="627"/>
      <c r="M146" s="627"/>
      <c r="N146" s="627"/>
      <c r="O146" s="627"/>
      <c r="P146" s="627"/>
      <c r="Q146" s="627"/>
    </row>
    <row r="147" spans="1:20">
      <c r="A147" s="52"/>
      <c r="B147" s="599" t="s">
        <v>82</v>
      </c>
      <c r="C147" s="599"/>
      <c r="D147" s="599"/>
      <c r="E147" s="599"/>
      <c r="F147" s="599"/>
      <c r="G147" s="599"/>
      <c r="H147" s="599"/>
      <c r="I147" s="599"/>
      <c r="J147" s="599"/>
      <c r="K147" s="599"/>
      <c r="L147" s="599"/>
      <c r="M147" s="599"/>
      <c r="N147" s="599"/>
      <c r="O147" s="599"/>
      <c r="P147" s="599"/>
      <c r="Q147" s="599"/>
    </row>
    <row r="148" spans="1:20">
      <c r="A148" s="42"/>
      <c r="B148" s="599" t="s">
        <v>31</v>
      </c>
      <c r="C148" s="599"/>
      <c r="D148" s="599"/>
      <c r="E148" s="599"/>
      <c r="F148" s="599"/>
      <c r="G148" s="599"/>
      <c r="H148" s="599"/>
      <c r="I148" s="599"/>
      <c r="J148" s="599"/>
      <c r="K148" s="599"/>
      <c r="L148" s="599"/>
      <c r="M148" s="599"/>
      <c r="N148" s="599"/>
      <c r="O148" s="599"/>
      <c r="P148" s="599"/>
      <c r="Q148" s="599"/>
    </row>
    <row r="149" spans="1:20" ht="14.25">
      <c r="A149" s="18"/>
      <c r="B149" s="56" t="s">
        <v>244</v>
      </c>
      <c r="C149" s="35"/>
      <c r="D149" s="33"/>
      <c r="E149" s="33"/>
      <c r="F149" s="34"/>
      <c r="G149" s="33"/>
      <c r="H149" s="34"/>
      <c r="I149" s="613">
        <v>7397.63</v>
      </c>
      <c r="J149" s="613"/>
      <c r="K149" s="613"/>
      <c r="L149" s="64" t="s">
        <v>7</v>
      </c>
      <c r="M149" s="33"/>
      <c r="N149" s="33"/>
      <c r="O149" s="35"/>
      <c r="P149" s="19"/>
      <c r="Q149" s="18"/>
      <c r="R149" s="18"/>
      <c r="S149" s="18"/>
      <c r="T149" s="18"/>
    </row>
    <row r="150" spans="1:20" ht="14.25">
      <c r="B150" s="43"/>
      <c r="C150" s="1"/>
      <c r="F150" s="8" t="s">
        <v>9</v>
      </c>
      <c r="G150" s="582">
        <v>80</v>
      </c>
      <c r="H150" s="582"/>
      <c r="I150" s="597" t="s">
        <v>10</v>
      </c>
      <c r="J150" s="598"/>
      <c r="R150" s="29" t="s">
        <v>0</v>
      </c>
      <c r="S150" s="16" t="s">
        <v>11</v>
      </c>
      <c r="T150" s="11">
        <f>ROUND(I149*G150,0)</f>
        <v>591810</v>
      </c>
    </row>
    <row r="153" spans="1:20" ht="38.25" customHeight="1">
      <c r="A153" s="54" t="s">
        <v>127</v>
      </c>
      <c r="B153" s="627" t="s">
        <v>128</v>
      </c>
      <c r="C153" s="627"/>
      <c r="D153" s="627"/>
      <c r="E153" s="627"/>
      <c r="F153" s="627"/>
      <c r="G153" s="627"/>
      <c r="H153" s="627"/>
      <c r="I153" s="627"/>
      <c r="J153" s="627"/>
      <c r="K153" s="627"/>
      <c r="L153" s="627"/>
      <c r="M153" s="627"/>
      <c r="N153" s="627"/>
      <c r="O153" s="627"/>
      <c r="P153" s="627"/>
      <c r="Q153" s="627"/>
    </row>
    <row r="154" spans="1:20" ht="14.25">
      <c r="A154" s="18"/>
      <c r="B154" s="56" t="s">
        <v>246</v>
      </c>
      <c r="C154" s="35"/>
      <c r="D154" s="33"/>
      <c r="E154" s="33"/>
      <c r="F154" s="34"/>
      <c r="G154" s="33"/>
      <c r="H154" s="34"/>
      <c r="I154" s="613">
        <v>18173.419999999998</v>
      </c>
      <c r="J154" s="613"/>
      <c r="K154" s="613"/>
      <c r="L154" s="64" t="s">
        <v>7</v>
      </c>
      <c r="M154" s="33"/>
      <c r="N154" s="33"/>
      <c r="O154" s="35"/>
      <c r="P154" s="19"/>
      <c r="Q154" s="18"/>
      <c r="R154" s="18"/>
      <c r="S154" s="18"/>
      <c r="T154" s="18"/>
    </row>
    <row r="155" spans="1:20" ht="14.25">
      <c r="B155" s="43"/>
      <c r="C155" s="1"/>
      <c r="F155" s="8" t="s">
        <v>9</v>
      </c>
      <c r="G155" s="582">
        <v>1954</v>
      </c>
      <c r="H155" s="582"/>
      <c r="I155" s="597" t="s">
        <v>10</v>
      </c>
      <c r="J155" s="598"/>
      <c r="R155" s="29" t="s">
        <v>0</v>
      </c>
      <c r="S155" s="16" t="s">
        <v>11</v>
      </c>
      <c r="T155" s="11">
        <f>ROUND(I154*G155,0)</f>
        <v>35510863</v>
      </c>
    </row>
    <row r="158" spans="1:20" ht="38.25">
      <c r="A158" s="54" t="s">
        <v>129</v>
      </c>
      <c r="B158" s="627" t="s">
        <v>130</v>
      </c>
      <c r="C158" s="627"/>
      <c r="D158" s="627"/>
      <c r="E158" s="627"/>
      <c r="F158" s="627"/>
      <c r="G158" s="627"/>
      <c r="H158" s="627"/>
      <c r="I158" s="627"/>
      <c r="J158" s="627"/>
      <c r="K158" s="627"/>
      <c r="L158" s="627"/>
      <c r="M158" s="627"/>
      <c r="N158" s="627"/>
      <c r="O158" s="627"/>
      <c r="P158" s="627"/>
      <c r="Q158" s="627"/>
    </row>
    <row r="159" spans="1:20" ht="14.25">
      <c r="A159" s="18"/>
      <c r="B159" s="56" t="s">
        <v>245</v>
      </c>
      <c r="C159" s="35"/>
      <c r="D159" s="33"/>
      <c r="E159" s="33"/>
      <c r="F159" s="34"/>
      <c r="G159" s="33"/>
      <c r="H159" s="34"/>
      <c r="I159" s="613">
        <v>5841.58</v>
      </c>
      <c r="J159" s="613"/>
      <c r="K159" s="613"/>
      <c r="L159" s="64" t="s">
        <v>7</v>
      </c>
      <c r="M159" s="33"/>
      <c r="N159" s="33"/>
      <c r="O159" s="35"/>
      <c r="P159" s="19"/>
      <c r="Q159" s="18"/>
      <c r="R159" s="18"/>
      <c r="S159" s="18"/>
      <c r="T159" s="18"/>
    </row>
    <row r="160" spans="1:20" ht="14.25">
      <c r="B160" s="43"/>
      <c r="C160" s="1"/>
      <c r="F160" s="8" t="s">
        <v>9</v>
      </c>
      <c r="G160" s="582">
        <v>434</v>
      </c>
      <c r="H160" s="582"/>
      <c r="I160" s="597" t="s">
        <v>10</v>
      </c>
      <c r="J160" s="598"/>
      <c r="R160" s="29" t="s">
        <v>0</v>
      </c>
      <c r="S160" s="16" t="s">
        <v>11</v>
      </c>
      <c r="T160" s="11">
        <f>ROUND(I159*G160,0)</f>
        <v>2535246</v>
      </c>
    </row>
    <row r="163" spans="1:20" ht="38.25">
      <c r="A163" s="54" t="s">
        <v>131</v>
      </c>
      <c r="B163" s="627" t="s">
        <v>132</v>
      </c>
      <c r="C163" s="627"/>
      <c r="D163" s="627"/>
      <c r="E163" s="627"/>
      <c r="F163" s="627"/>
      <c r="G163" s="627"/>
      <c r="H163" s="627"/>
      <c r="I163" s="627"/>
      <c r="J163" s="627"/>
      <c r="K163" s="627"/>
      <c r="L163" s="627"/>
      <c r="M163" s="627"/>
      <c r="N163" s="627"/>
      <c r="O163" s="627"/>
      <c r="P163" s="627"/>
      <c r="Q163" s="627"/>
    </row>
    <row r="164" spans="1:20" ht="14.25">
      <c r="A164" s="18"/>
      <c r="B164" s="56" t="s">
        <v>245</v>
      </c>
      <c r="C164" s="35"/>
      <c r="D164" s="33"/>
      <c r="E164" s="33"/>
      <c r="F164" s="34"/>
      <c r="G164" s="33"/>
      <c r="H164" s="34"/>
      <c r="I164" s="613">
        <v>5312.16</v>
      </c>
      <c r="J164" s="613"/>
      <c r="K164" s="613"/>
      <c r="L164" s="64" t="s">
        <v>16</v>
      </c>
      <c r="M164" s="33"/>
      <c r="N164" s="33"/>
      <c r="O164" s="35"/>
      <c r="P164" s="19"/>
      <c r="Q164" s="18"/>
      <c r="R164" s="18"/>
      <c r="S164" s="18"/>
      <c r="T164" s="18"/>
    </row>
    <row r="165" spans="1:20" ht="14.25">
      <c r="B165" s="43"/>
      <c r="C165" s="1"/>
      <c r="F165" s="8" t="s">
        <v>9</v>
      </c>
      <c r="G165" s="582">
        <v>68</v>
      </c>
      <c r="H165" s="582"/>
      <c r="I165" s="597" t="s">
        <v>17</v>
      </c>
      <c r="J165" s="598"/>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615" t="s">
        <v>211</v>
      </c>
      <c r="C168" s="615"/>
      <c r="D168" s="615"/>
      <c r="E168" s="615"/>
      <c r="F168" s="615"/>
      <c r="G168" s="615"/>
      <c r="H168" s="615"/>
      <c r="I168" s="615"/>
      <c r="J168" s="615"/>
      <c r="K168" s="615"/>
      <c r="L168" s="615"/>
      <c r="M168" s="615"/>
      <c r="N168" s="615"/>
      <c r="O168" s="615"/>
      <c r="P168" s="615"/>
      <c r="Q168" s="615"/>
      <c r="R168" s="29"/>
      <c r="S168" s="16"/>
      <c r="T168" s="11"/>
    </row>
    <row r="169" spans="1:20">
      <c r="A169" s="95">
        <v>1.2</v>
      </c>
      <c r="B169" s="617" t="s">
        <v>109</v>
      </c>
      <c r="C169" s="617"/>
      <c r="D169" s="617"/>
      <c r="E169" s="617"/>
      <c r="F169" s="617"/>
      <c r="G169" s="617"/>
      <c r="H169" s="617"/>
      <c r="I169" s="617"/>
      <c r="J169" s="617"/>
      <c r="K169" s="617"/>
      <c r="L169" s="617"/>
      <c r="M169" s="617"/>
      <c r="N169" s="617"/>
      <c r="O169" s="617"/>
      <c r="P169" s="617"/>
      <c r="Q169" s="617"/>
    </row>
    <row r="170" spans="1:20">
      <c r="B170" t="s">
        <v>110</v>
      </c>
    </row>
    <row r="171" spans="1:20" ht="14.25">
      <c r="B171" t="s">
        <v>133</v>
      </c>
      <c r="I171" s="614">
        <f>$I$154</f>
        <v>18173.419999999998</v>
      </c>
      <c r="J171" s="614"/>
      <c r="K171" s="614"/>
      <c r="L171" s="33" t="s">
        <v>1</v>
      </c>
      <c r="M171" s="628">
        <v>1.1599999999999999</v>
      </c>
      <c r="N171" s="628"/>
      <c r="O171" s="76" t="s">
        <v>0</v>
      </c>
      <c r="P171" s="18">
        <f>I171*M171</f>
        <v>21081.167199999996</v>
      </c>
      <c r="Q171" t="s">
        <v>7</v>
      </c>
    </row>
    <row r="172" spans="1:20" ht="14.25">
      <c r="B172" t="s">
        <v>134</v>
      </c>
      <c r="I172" s="614">
        <f>$I$159</f>
        <v>5841.58</v>
      </c>
      <c r="J172" s="614"/>
      <c r="K172" s="614"/>
      <c r="L172" s="33" t="s">
        <v>1</v>
      </c>
      <c r="M172" s="629">
        <v>1.1599999999999999</v>
      </c>
      <c r="N172" s="629"/>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676">
        <f>$I$154</f>
        <v>18173.419999999998</v>
      </c>
      <c r="J176" s="628"/>
      <c r="K176" s="628"/>
      <c r="L176" s="33" t="s">
        <v>1</v>
      </c>
      <c r="M176" s="628">
        <v>0.35</v>
      </c>
      <c r="N176" s="628"/>
      <c r="O176" s="76" t="s">
        <v>0</v>
      </c>
      <c r="P176" s="18">
        <f>I176*M176</f>
        <v>6360.6969999999992</v>
      </c>
      <c r="Q176" t="s">
        <v>7</v>
      </c>
    </row>
    <row r="177" spans="1:21" ht="14.25">
      <c r="B177" t="s">
        <v>135</v>
      </c>
      <c r="I177" s="676">
        <f>$I$164</f>
        <v>5312.16</v>
      </c>
      <c r="J177" s="628"/>
      <c r="K177" s="628"/>
      <c r="L177" s="33" t="s">
        <v>1</v>
      </c>
      <c r="M177" s="629">
        <v>1.4999999999999999E-2</v>
      </c>
      <c r="N177" s="629"/>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654">
        <f>$P$173</f>
        <v>27857.399999999994</v>
      </c>
      <c r="F179" s="654"/>
      <c r="G179" s="654"/>
      <c r="H179" s="60" t="s">
        <v>14</v>
      </c>
      <c r="I179" s="655">
        <f>$P$178</f>
        <v>6440.3793999999989</v>
      </c>
      <c r="J179" s="655"/>
      <c r="K179" s="1" t="s">
        <v>0</v>
      </c>
      <c r="L179" s="576">
        <f>E179+I179</f>
        <v>34297.779399999992</v>
      </c>
      <c r="M179" s="581"/>
      <c r="N179" s="581"/>
      <c r="O179" t="s">
        <v>7</v>
      </c>
    </row>
    <row r="180" spans="1:21" ht="14.25">
      <c r="H180" s="8" t="s">
        <v>9</v>
      </c>
      <c r="I180" s="582">
        <v>53</v>
      </c>
      <c r="J180" s="582"/>
      <c r="K180" s="597" t="s">
        <v>10</v>
      </c>
      <c r="L180" s="598"/>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617" t="s">
        <v>122</v>
      </c>
      <c r="C186" s="617"/>
      <c r="D186" s="617"/>
      <c r="E186" s="617"/>
      <c r="F186" s="617"/>
      <c r="G186" s="617"/>
      <c r="H186" s="617"/>
      <c r="I186" s="617"/>
      <c r="J186" s="617"/>
      <c r="K186" s="617"/>
      <c r="L186" s="617"/>
      <c r="M186" s="617"/>
      <c r="N186" s="617"/>
      <c r="O186" s="617"/>
      <c r="P186" s="617"/>
      <c r="Q186" s="617"/>
    </row>
    <row r="187" spans="1:21">
      <c r="B187" s="3" t="s">
        <v>124</v>
      </c>
    </row>
    <row r="188" spans="1:21">
      <c r="C188" s="598" t="s">
        <v>52</v>
      </c>
      <c r="D188" s="598"/>
      <c r="E188" s="598"/>
      <c r="F188" s="598"/>
      <c r="G188" s="598"/>
      <c r="H188" s="598"/>
      <c r="I188" s="598"/>
      <c r="J188" s="598"/>
      <c r="K188" s="598"/>
    </row>
    <row r="189" spans="1:21">
      <c r="C189" t="s">
        <v>53</v>
      </c>
      <c r="L189" s="17"/>
      <c r="M189" s="17"/>
      <c r="N189" s="17"/>
      <c r="O189" s="9"/>
      <c r="P189" s="10"/>
      <c r="T189" s="11"/>
    </row>
    <row r="190" spans="1:21" ht="14.25">
      <c r="C190" t="s">
        <v>136</v>
      </c>
      <c r="F190" s="22"/>
      <c r="I190" s="24"/>
      <c r="J190" s="24"/>
      <c r="K190" s="47"/>
      <c r="L190" s="17"/>
      <c r="M190" s="677">
        <f>$P$173</f>
        <v>27857.399999999994</v>
      </c>
      <c r="N190" s="677"/>
      <c r="O190" s="677"/>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582">
        <f>$P$173</f>
        <v>27857.399999999994</v>
      </c>
      <c r="E192" s="582"/>
      <c r="F192" s="582"/>
      <c r="G192" t="s">
        <v>1</v>
      </c>
      <c r="H192" s="7">
        <v>2.4</v>
      </c>
      <c r="I192" t="s">
        <v>1</v>
      </c>
      <c r="J192" s="36">
        <v>10</v>
      </c>
      <c r="K192" s="1" t="s">
        <v>0</v>
      </c>
      <c r="L192" s="582">
        <f>D192*H192*J192</f>
        <v>668577.59999999986</v>
      </c>
      <c r="M192" s="582"/>
      <c r="N192" s="582"/>
      <c r="O192" s="65" t="s">
        <v>58</v>
      </c>
      <c r="Q192" s="58"/>
      <c r="R192" s="50"/>
      <c r="S192" s="49"/>
      <c r="T192" s="26"/>
    </row>
    <row r="193" spans="2:20">
      <c r="J193" s="577" t="s">
        <v>9</v>
      </c>
      <c r="K193" s="577"/>
      <c r="L193" s="582">
        <v>3</v>
      </c>
      <c r="M193" s="582"/>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582">
        <f>$P$173</f>
        <v>27857.399999999994</v>
      </c>
      <c r="E196" s="582"/>
      <c r="F196" s="582"/>
      <c r="G196" t="s">
        <v>1</v>
      </c>
      <c r="H196" s="7">
        <v>2.4</v>
      </c>
      <c r="I196" t="s">
        <v>1</v>
      </c>
      <c r="J196" s="36">
        <v>1</v>
      </c>
      <c r="K196" s="1" t="s">
        <v>0</v>
      </c>
      <c r="L196" s="582">
        <f>D196*H196*J196</f>
        <v>66857.75999999998</v>
      </c>
      <c r="M196" s="582"/>
      <c r="N196" s="582"/>
      <c r="O196" s="65" t="s">
        <v>58</v>
      </c>
      <c r="Q196" s="58"/>
      <c r="R196" s="50"/>
      <c r="S196" s="49"/>
      <c r="T196" s="26"/>
    </row>
    <row r="197" spans="2:20">
      <c r="J197" s="577" t="s">
        <v>9</v>
      </c>
      <c r="K197" s="577"/>
      <c r="L197" s="582">
        <v>4.3</v>
      </c>
      <c r="M197" s="582"/>
      <c r="N197" s="9" t="s">
        <v>59</v>
      </c>
      <c r="O197" s="10"/>
      <c r="P197" s="2"/>
      <c r="R197" s="29" t="s">
        <v>0</v>
      </c>
      <c r="S197" s="16" t="s">
        <v>11</v>
      </c>
      <c r="T197" s="66">
        <f>ROUND(L196*L197,0)</f>
        <v>287488</v>
      </c>
    </row>
    <row r="198" spans="2:20">
      <c r="R198" s="16"/>
      <c r="S198" s="16"/>
    </row>
    <row r="199" spans="2:20">
      <c r="B199" s="3" t="s">
        <v>123</v>
      </c>
      <c r="R199" s="16"/>
      <c r="S199" s="16"/>
    </row>
    <row r="200" spans="2:20">
      <c r="C200" s="581" t="s">
        <v>54</v>
      </c>
      <c r="D200" s="581"/>
      <c r="E200" s="581"/>
      <c r="F200" s="581"/>
      <c r="G200" s="581"/>
      <c r="H200" s="581"/>
      <c r="I200" s="581"/>
      <c r="J200" s="581"/>
      <c r="K200" s="581"/>
      <c r="R200" s="16"/>
      <c r="S200" s="16"/>
    </row>
    <row r="201" spans="2:20">
      <c r="C201" t="s">
        <v>55</v>
      </c>
      <c r="R201" s="16"/>
      <c r="S201" s="16"/>
    </row>
    <row r="202" spans="2:20" ht="14.25">
      <c r="C202" t="s">
        <v>137</v>
      </c>
      <c r="F202" s="22"/>
      <c r="I202" s="24"/>
      <c r="J202" s="24"/>
      <c r="K202" s="47"/>
      <c r="L202" s="17"/>
      <c r="M202" s="677">
        <f>$P$178</f>
        <v>6440.3793999999989</v>
      </c>
      <c r="N202" s="677"/>
      <c r="O202" s="677"/>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582">
        <f>$P$178</f>
        <v>6440.3793999999989</v>
      </c>
      <c r="E204" s="582"/>
      <c r="F204" s="582"/>
      <c r="G204" t="s">
        <v>1</v>
      </c>
      <c r="H204" s="7">
        <v>1.84</v>
      </c>
      <c r="I204" t="s">
        <v>1</v>
      </c>
      <c r="J204" s="36">
        <v>14</v>
      </c>
      <c r="K204" s="1" t="s">
        <v>0</v>
      </c>
      <c r="L204" s="582">
        <f>D204*H204*J204</f>
        <v>165904.17334399998</v>
      </c>
      <c r="M204" s="582"/>
      <c r="N204" s="582"/>
      <c r="O204" s="65" t="s">
        <v>58</v>
      </c>
      <c r="Q204" s="58"/>
      <c r="R204" s="50"/>
      <c r="S204" s="49"/>
      <c r="T204" s="26"/>
    </row>
    <row r="205" spans="2:20">
      <c r="J205" s="577" t="s">
        <v>9</v>
      </c>
      <c r="K205" s="577"/>
      <c r="L205" s="582">
        <v>3</v>
      </c>
      <c r="M205" s="582"/>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582">
        <f>$P$178</f>
        <v>6440.3793999999989</v>
      </c>
      <c r="E208" s="582"/>
      <c r="F208" s="582"/>
      <c r="G208" t="s">
        <v>1</v>
      </c>
      <c r="H208" s="7">
        <v>1.84</v>
      </c>
      <c r="I208" t="s">
        <v>1</v>
      </c>
      <c r="J208" s="36">
        <v>1</v>
      </c>
      <c r="K208" s="1" t="s">
        <v>0</v>
      </c>
      <c r="L208" s="582">
        <f>D208*H208*J208</f>
        <v>11850.298095999999</v>
      </c>
      <c r="M208" s="582"/>
      <c r="N208" s="582"/>
      <c r="O208" s="65" t="s">
        <v>58</v>
      </c>
      <c r="Q208" s="58"/>
      <c r="R208" s="50"/>
      <c r="S208" s="49"/>
      <c r="T208" s="26"/>
    </row>
    <row r="209" spans="1:20">
      <c r="J209" s="577" t="s">
        <v>9</v>
      </c>
      <c r="K209" s="577"/>
      <c r="L209" s="582">
        <v>4.3</v>
      </c>
      <c r="M209" s="582"/>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678">
        <f>$P$173</f>
        <v>27857.399999999994</v>
      </c>
      <c r="J213" s="679"/>
      <c r="K213" s="679"/>
      <c r="L213" s="34" t="s">
        <v>7</v>
      </c>
      <c r="M213" s="33"/>
      <c r="N213" s="18"/>
      <c r="O213" s="18"/>
      <c r="P213" s="18"/>
      <c r="Q213" s="18"/>
      <c r="R213" s="18"/>
      <c r="S213" s="25"/>
      <c r="T213" s="57"/>
    </row>
    <row r="214" spans="1:20" ht="14.25">
      <c r="F214" s="577" t="s">
        <v>9</v>
      </c>
      <c r="G214" s="577"/>
      <c r="H214" s="601">
        <v>98.68</v>
      </c>
      <c r="I214" s="601"/>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678">
        <f>$P$178</f>
        <v>6440.3793999999989</v>
      </c>
      <c r="J216" s="678"/>
      <c r="K216" s="678"/>
      <c r="L216" s="34" t="s">
        <v>7</v>
      </c>
      <c r="M216" s="33"/>
      <c r="N216" s="18"/>
      <c r="O216" s="18"/>
      <c r="P216" s="18"/>
      <c r="Q216" s="18"/>
      <c r="R216" s="18"/>
      <c r="S216" s="25"/>
      <c r="T216" s="57"/>
    </row>
    <row r="217" spans="1:20" ht="14.25">
      <c r="F217" s="577" t="s">
        <v>9</v>
      </c>
      <c r="G217" s="577"/>
      <c r="H217" s="601">
        <v>36.72</v>
      </c>
      <c r="I217" s="601"/>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666" t="s">
        <v>142</v>
      </c>
      <c r="C239" s="669"/>
      <c r="D239" s="669"/>
      <c r="E239" s="669"/>
      <c r="F239" s="669"/>
      <c r="G239" s="669"/>
      <c r="H239" s="669"/>
      <c r="I239" s="669"/>
      <c r="J239" s="669"/>
      <c r="K239" s="669"/>
      <c r="L239" s="669"/>
      <c r="M239" s="669"/>
      <c r="N239" s="669"/>
      <c r="O239" s="669"/>
      <c r="P239" s="669"/>
      <c r="Q239" s="669"/>
      <c r="R239" s="669"/>
      <c r="S239" s="669"/>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666" t="s">
        <v>256</v>
      </c>
      <c r="C241" s="666"/>
      <c r="D241" s="666"/>
      <c r="E241" s="666"/>
      <c r="F241" s="666"/>
      <c r="G241" s="666"/>
      <c r="H241" s="666"/>
      <c r="I241" s="666"/>
      <c r="J241" s="666"/>
      <c r="K241" s="666"/>
      <c r="L241" s="666"/>
      <c r="M241" s="666"/>
      <c r="N241" s="666"/>
      <c r="O241" s="666"/>
      <c r="P241" s="666"/>
      <c r="Q241" s="666"/>
      <c r="R241" s="666"/>
      <c r="S241" s="666"/>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663" t="s">
        <v>143</v>
      </c>
      <c r="B243" s="664" t="s">
        <v>144</v>
      </c>
      <c r="C243" s="665"/>
      <c r="D243" s="665"/>
      <c r="E243" s="665"/>
      <c r="F243" s="665"/>
      <c r="G243" s="665"/>
      <c r="H243" s="665"/>
      <c r="I243" s="665"/>
      <c r="J243" s="665"/>
      <c r="K243" s="665"/>
      <c r="L243" s="665"/>
      <c r="M243" s="665"/>
      <c r="N243" s="665"/>
      <c r="O243" s="665"/>
      <c r="P243" s="665"/>
      <c r="Q243" s="665"/>
      <c r="R243" s="59"/>
      <c r="S243" s="59"/>
      <c r="T243" s="59"/>
    </row>
    <row r="244" spans="1:20" ht="60" customHeight="1">
      <c r="A244" s="663"/>
      <c r="B244" s="627" t="s">
        <v>145</v>
      </c>
      <c r="C244" s="627"/>
      <c r="D244" s="627"/>
      <c r="E244" s="627"/>
      <c r="F244" s="627"/>
      <c r="G244" s="627"/>
      <c r="H244" s="627"/>
      <c r="I244" s="627"/>
      <c r="J244" s="627"/>
      <c r="K244" s="627"/>
      <c r="L244" s="627"/>
      <c r="M244" s="627"/>
      <c r="N244" s="627"/>
      <c r="O244" s="627"/>
      <c r="P244" s="627"/>
      <c r="Q244" s="627"/>
    </row>
    <row r="245" spans="1:20">
      <c r="A245" s="52"/>
      <c r="B245" s="599" t="s">
        <v>153</v>
      </c>
      <c r="C245" s="599"/>
      <c r="D245" s="599"/>
      <c r="E245" s="599"/>
      <c r="F245" s="599"/>
      <c r="G245" s="599"/>
      <c r="H245" s="599"/>
      <c r="I245" s="599"/>
      <c r="J245" s="599"/>
      <c r="K245" s="599"/>
      <c r="L245" s="599"/>
      <c r="M245" s="599"/>
      <c r="N245" s="599"/>
      <c r="O245" s="599"/>
      <c r="P245" s="599"/>
      <c r="Q245" s="599"/>
    </row>
    <row r="246" spans="1:20" ht="12.75" customHeight="1">
      <c r="A246" s="42"/>
      <c r="B246" s="599" t="s">
        <v>248</v>
      </c>
      <c r="C246" s="599"/>
      <c r="D246" s="599"/>
      <c r="E246" s="599"/>
      <c r="F246" s="599"/>
      <c r="G246" s="667">
        <v>742.5</v>
      </c>
      <c r="H246" s="667"/>
      <c r="I246" s="599" t="s">
        <v>249</v>
      </c>
      <c r="J246" s="599"/>
      <c r="K246" s="599"/>
      <c r="L246" s="599"/>
      <c r="M246" s="599"/>
      <c r="N246" s="599"/>
      <c r="O246" s="599"/>
      <c r="P246" s="599"/>
      <c r="Q246" s="92"/>
    </row>
    <row r="247" spans="1:20" ht="12.75" customHeight="1">
      <c r="A247" s="42"/>
      <c r="B247" s="599" t="s">
        <v>214</v>
      </c>
      <c r="C247" s="599"/>
      <c r="D247" s="599"/>
      <c r="E247" s="599"/>
      <c r="F247" s="599"/>
      <c r="G247" s="667">
        <f>$G$246</f>
        <v>742.5</v>
      </c>
      <c r="H247" s="667"/>
      <c r="I247" s="92" t="s">
        <v>1</v>
      </c>
      <c r="J247" s="667">
        <v>1.8</v>
      </c>
      <c r="K247" s="667"/>
      <c r="L247" s="95" t="s">
        <v>0</v>
      </c>
      <c r="M247" s="579">
        <f>G247*J247</f>
        <v>1336.5</v>
      </c>
      <c r="N247" s="579"/>
      <c r="O247" s="668" t="s">
        <v>16</v>
      </c>
      <c r="P247" s="668"/>
      <c r="Q247" s="92"/>
    </row>
    <row r="248" spans="1:20" ht="14.25">
      <c r="A248" s="18"/>
      <c r="B248" s="61" t="s">
        <v>215</v>
      </c>
      <c r="C248" s="35"/>
      <c r="D248" s="33"/>
      <c r="E248" s="33"/>
      <c r="F248" s="34"/>
      <c r="G248" s="53"/>
      <c r="H248" s="95" t="s">
        <v>0</v>
      </c>
      <c r="I248" s="613">
        <f>M247*0.1</f>
        <v>133.65</v>
      </c>
      <c r="J248" s="613"/>
      <c r="K248" s="613"/>
      <c r="L248" s="64" t="s">
        <v>7</v>
      </c>
      <c r="M248" s="33"/>
      <c r="N248" s="33"/>
      <c r="O248" s="35"/>
      <c r="P248" s="19"/>
      <c r="Q248" s="18"/>
      <c r="R248" s="18"/>
      <c r="S248" s="18"/>
      <c r="T248" s="18"/>
    </row>
    <row r="249" spans="1:20" ht="14.25">
      <c r="B249" s="43"/>
      <c r="C249" s="1"/>
      <c r="F249" s="8" t="s">
        <v>9</v>
      </c>
      <c r="G249" s="582">
        <v>540</v>
      </c>
      <c r="H249" s="582"/>
      <c r="I249" s="597" t="s">
        <v>10</v>
      </c>
      <c r="J249" s="598"/>
      <c r="R249" s="29" t="s">
        <v>0</v>
      </c>
      <c r="S249" s="16" t="s">
        <v>11</v>
      </c>
      <c r="T249" s="11">
        <f>ROUND(M247*G249,0)</f>
        <v>721710</v>
      </c>
    </row>
    <row r="253" spans="1:20" ht="85.5" customHeight="1">
      <c r="A253" s="54" t="s">
        <v>156</v>
      </c>
      <c r="B253" s="627" t="s">
        <v>146</v>
      </c>
      <c r="C253" s="627"/>
      <c r="D253" s="627"/>
      <c r="E253" s="627"/>
      <c r="F253" s="627"/>
      <c r="G253" s="627"/>
      <c r="H253" s="627"/>
      <c r="I253" s="627"/>
      <c r="J253" s="627"/>
      <c r="K253" s="627"/>
      <c r="L253" s="627"/>
      <c r="M253" s="627"/>
      <c r="N253" s="627"/>
      <c r="O253" s="627"/>
      <c r="P253" s="627"/>
      <c r="Q253" s="627"/>
    </row>
    <row r="254" spans="1:20" ht="12.75" customHeight="1">
      <c r="A254" s="54"/>
      <c r="B254" s="617" t="s">
        <v>147</v>
      </c>
      <c r="C254" s="617"/>
      <c r="D254" s="617"/>
      <c r="E254" s="617"/>
      <c r="F254" s="617"/>
      <c r="G254" s="617"/>
      <c r="H254" s="617"/>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602">
        <f>$M$247</f>
        <v>1336.5</v>
      </c>
      <c r="K256" s="602"/>
      <c r="L256" s="64" t="s">
        <v>16</v>
      </c>
      <c r="M256" s="33"/>
      <c r="N256" s="33"/>
      <c r="O256" s="35"/>
      <c r="P256" s="19"/>
      <c r="Q256" s="18"/>
      <c r="R256" s="18"/>
      <c r="S256" s="18"/>
      <c r="T256" s="18"/>
    </row>
    <row r="257" spans="1:20" ht="14.25">
      <c r="A257" s="18"/>
      <c r="B257" s="61" t="s">
        <v>217</v>
      </c>
      <c r="C257" s="33">
        <v>2</v>
      </c>
      <c r="D257" s="33" t="s">
        <v>1</v>
      </c>
      <c r="E257" s="602">
        <f>$J$256</f>
        <v>1336.5</v>
      </c>
      <c r="F257" s="602"/>
      <c r="G257" s="602"/>
      <c r="H257" s="34" t="s">
        <v>1</v>
      </c>
      <c r="I257" s="658">
        <v>9.0999999999999998E-2</v>
      </c>
      <c r="J257" s="658"/>
      <c r="K257" s="35" t="s">
        <v>0</v>
      </c>
      <c r="L257" s="659">
        <f>C257*E257*I257</f>
        <v>243.24299999999999</v>
      </c>
      <c r="M257" s="659"/>
      <c r="N257" s="64" t="s">
        <v>7</v>
      </c>
      <c r="O257" s="35"/>
      <c r="P257" s="19"/>
      <c r="Q257" s="18"/>
      <c r="R257" s="18"/>
      <c r="S257" s="18"/>
      <c r="T257" s="18"/>
    </row>
    <row r="258" spans="1:20" ht="14.25">
      <c r="B258" s="43"/>
      <c r="C258" s="1"/>
      <c r="F258" s="8" t="s">
        <v>9</v>
      </c>
      <c r="G258" s="582">
        <v>628</v>
      </c>
      <c r="H258" s="582"/>
      <c r="I258" s="597" t="s">
        <v>10</v>
      </c>
      <c r="J258" s="598"/>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615" t="s">
        <v>211</v>
      </c>
      <c r="C262" s="615"/>
      <c r="D262" s="615"/>
      <c r="E262" s="615"/>
      <c r="F262" s="615"/>
      <c r="G262" s="615"/>
      <c r="H262" s="615"/>
      <c r="I262" s="615"/>
      <c r="J262" s="615"/>
      <c r="K262" s="615"/>
      <c r="L262" s="615"/>
      <c r="M262" s="615"/>
      <c r="N262" s="615"/>
      <c r="O262" s="615"/>
      <c r="P262" s="615"/>
      <c r="Q262" s="615"/>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576">
        <f>I248*0.5</f>
        <v>66.825000000000003</v>
      </c>
      <c r="N265" s="576"/>
      <c r="O265" s="576"/>
      <c r="P265" t="s">
        <v>7</v>
      </c>
    </row>
    <row r="266" spans="1:20" ht="14.25">
      <c r="B266" s="98" t="s">
        <v>189</v>
      </c>
      <c r="C266" s="94"/>
      <c r="D266" s="94"/>
      <c r="E266" s="94"/>
      <c r="F266" s="94"/>
      <c r="G266" s="94"/>
      <c r="H266" s="94"/>
      <c r="I266" s="94"/>
      <c r="J266" s="94"/>
      <c r="L266" s="29" t="s">
        <v>0</v>
      </c>
      <c r="M266" s="660">
        <f>$L$257</f>
        <v>243.24299999999999</v>
      </c>
      <c r="N266" s="660"/>
      <c r="O266" s="660"/>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576">
        <f>I248*0.5</f>
        <v>66.825000000000003</v>
      </c>
      <c r="N269" s="576"/>
      <c r="O269" s="576"/>
      <c r="P269" t="s">
        <v>7</v>
      </c>
    </row>
    <row r="270" spans="1:20" ht="14.25">
      <c r="B270" t="s">
        <v>192</v>
      </c>
      <c r="J270" s="13"/>
      <c r="K270" s="13"/>
      <c r="L270" s="32" t="s">
        <v>0</v>
      </c>
      <c r="M270" s="656">
        <f>L257*0.25</f>
        <v>60.810749999999999</v>
      </c>
      <c r="N270" s="656"/>
      <c r="O270" s="656"/>
      <c r="P270" s="13" t="s">
        <v>7</v>
      </c>
    </row>
    <row r="271" spans="1:20" ht="14.25">
      <c r="J271" t="s">
        <v>194</v>
      </c>
      <c r="L271" s="29" t="s">
        <v>0</v>
      </c>
      <c r="M271" s="576">
        <f>SUM(M265:M270)</f>
        <v>437.70374999999996</v>
      </c>
      <c r="N271" s="581"/>
      <c r="O271" s="581"/>
      <c r="P271" t="s">
        <v>7</v>
      </c>
    </row>
    <row r="272" spans="1:20" ht="14.25">
      <c r="F272" s="8" t="s">
        <v>9</v>
      </c>
      <c r="G272" s="582">
        <v>53</v>
      </c>
      <c r="H272" s="582"/>
      <c r="I272" s="597" t="s">
        <v>10</v>
      </c>
      <c r="J272" s="598"/>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598" t="s">
        <v>52</v>
      </c>
      <c r="D280" s="598"/>
      <c r="E280" s="598"/>
      <c r="F280" s="598"/>
      <c r="G280" s="598"/>
      <c r="H280" s="598"/>
      <c r="I280" s="598"/>
      <c r="J280" s="598"/>
      <c r="K280" s="598"/>
    </row>
    <row r="281" spans="1:20">
      <c r="C281" t="s">
        <v>53</v>
      </c>
      <c r="L281" s="17"/>
      <c r="M281" s="17"/>
      <c r="N281" s="17"/>
      <c r="O281" s="9"/>
      <c r="P281" s="10"/>
    </row>
    <row r="282" spans="1:20" ht="14.25">
      <c r="B282" t="s">
        <v>213</v>
      </c>
      <c r="L282" s="29" t="s">
        <v>0</v>
      </c>
      <c r="M282" s="576">
        <f>I248*0.5</f>
        <v>66.825000000000003</v>
      </c>
      <c r="N282" s="576"/>
      <c r="O282" s="576"/>
      <c r="P282" t="s">
        <v>7</v>
      </c>
    </row>
    <row r="283" spans="1:20" ht="14.25">
      <c r="B283" s="98" t="s">
        <v>189</v>
      </c>
      <c r="C283" s="94"/>
      <c r="D283" s="94"/>
      <c r="E283" s="94"/>
      <c r="F283" s="94"/>
      <c r="G283" s="94"/>
      <c r="H283" s="94"/>
      <c r="I283" s="94"/>
      <c r="J283" s="104"/>
      <c r="K283" s="13"/>
      <c r="L283" s="32" t="s">
        <v>0</v>
      </c>
      <c r="M283" s="657">
        <f>$L$257</f>
        <v>243.24299999999999</v>
      </c>
      <c r="N283" s="657"/>
      <c r="O283" s="657"/>
      <c r="P283" s="13" t="s">
        <v>7</v>
      </c>
    </row>
    <row r="284" spans="1:20" ht="14.25">
      <c r="J284" t="s">
        <v>194</v>
      </c>
      <c r="L284" s="29" t="s">
        <v>0</v>
      </c>
      <c r="M284" s="576">
        <f>SUM(M282:M283)</f>
        <v>310.06799999999998</v>
      </c>
      <c r="N284" s="581"/>
      <c r="O284" s="581"/>
      <c r="P284" t="s">
        <v>7</v>
      </c>
    </row>
    <row r="285" spans="1:20" ht="6.75" customHeight="1"/>
    <row r="286" spans="1:20">
      <c r="B286" s="16" t="s">
        <v>218</v>
      </c>
      <c r="C286" s="1" t="s">
        <v>0</v>
      </c>
      <c r="D286" s="579">
        <f>$M$284</f>
        <v>310.06799999999998</v>
      </c>
      <c r="E286" s="612"/>
      <c r="F286" s="612"/>
      <c r="G286" t="s">
        <v>1</v>
      </c>
      <c r="H286" s="7">
        <v>2.4</v>
      </c>
      <c r="I286" t="s">
        <v>1</v>
      </c>
      <c r="J286" s="20">
        <v>10</v>
      </c>
      <c r="K286" s="29" t="s">
        <v>0</v>
      </c>
      <c r="L286" s="576">
        <f>D286*H286*J286</f>
        <v>7441.6319999999996</v>
      </c>
      <c r="M286" s="576"/>
      <c r="N286" s="576"/>
      <c r="O286" t="s">
        <v>58</v>
      </c>
    </row>
    <row r="287" spans="1:20">
      <c r="F287" s="8" t="s">
        <v>9</v>
      </c>
      <c r="G287" s="582">
        <v>3</v>
      </c>
      <c r="H287" s="582"/>
      <c r="I287" s="597" t="s">
        <v>59</v>
      </c>
      <c r="J287" s="598"/>
      <c r="R287" s="29" t="s">
        <v>0</v>
      </c>
      <c r="S287" s="16" t="s">
        <v>11</v>
      </c>
      <c r="T287" s="11">
        <f>ROUND(L286*G287,0)</f>
        <v>22325</v>
      </c>
    </row>
    <row r="289" spans="2:20">
      <c r="B289" t="s">
        <v>198</v>
      </c>
    </row>
    <row r="290" spans="2:20">
      <c r="B290" s="16" t="s">
        <v>218</v>
      </c>
      <c r="C290" s="1" t="s">
        <v>0</v>
      </c>
      <c r="D290" s="579">
        <f>$M$284</f>
        <v>310.06799999999998</v>
      </c>
      <c r="E290" s="612"/>
      <c r="F290" s="612"/>
      <c r="G290" t="s">
        <v>1</v>
      </c>
      <c r="H290" s="7">
        <v>2.4</v>
      </c>
      <c r="I290" t="s">
        <v>1</v>
      </c>
      <c r="J290" s="20">
        <v>1</v>
      </c>
      <c r="K290" s="29" t="s">
        <v>0</v>
      </c>
      <c r="L290" s="576">
        <f>D290*H290*J290</f>
        <v>744.16319999999996</v>
      </c>
      <c r="M290" s="576"/>
      <c r="N290" s="576"/>
      <c r="O290" t="s">
        <v>58</v>
      </c>
    </row>
    <row r="291" spans="2:20">
      <c r="F291" s="8" t="s">
        <v>9</v>
      </c>
      <c r="G291" s="582">
        <v>4.3</v>
      </c>
      <c r="H291" s="582"/>
      <c r="I291" s="597" t="s">
        <v>59</v>
      </c>
      <c r="J291" s="598"/>
      <c r="R291" s="29" t="s">
        <v>0</v>
      </c>
      <c r="S291" s="16" t="s">
        <v>11</v>
      </c>
      <c r="T291" s="11">
        <f>ROUND(L290*G291,0)</f>
        <v>3200</v>
      </c>
    </row>
    <row r="294" spans="2:20">
      <c r="B294" s="3" t="s">
        <v>190</v>
      </c>
    </row>
    <row r="295" spans="2:20">
      <c r="C295" s="581" t="s">
        <v>54</v>
      </c>
      <c r="D295" s="581"/>
      <c r="E295" s="581"/>
      <c r="F295" s="581"/>
      <c r="G295" s="581"/>
      <c r="H295" s="581"/>
      <c r="I295" s="581"/>
      <c r="J295" s="581"/>
      <c r="K295" s="581"/>
    </row>
    <row r="296" spans="2:20">
      <c r="C296" t="s">
        <v>55</v>
      </c>
    </row>
    <row r="297" spans="2:20" ht="14.25">
      <c r="B297" t="s">
        <v>213</v>
      </c>
      <c r="L297" s="29" t="s">
        <v>0</v>
      </c>
      <c r="M297" s="576">
        <f>$M$282</f>
        <v>66.825000000000003</v>
      </c>
      <c r="N297" s="576"/>
      <c r="O297" s="576"/>
      <c r="P297" t="s">
        <v>7</v>
      </c>
    </row>
    <row r="298" spans="2:20" ht="14.25">
      <c r="B298" t="s">
        <v>192</v>
      </c>
      <c r="J298" s="13"/>
      <c r="K298" s="13"/>
      <c r="L298" s="32" t="s">
        <v>0</v>
      </c>
      <c r="M298" s="656">
        <f>$M$270</f>
        <v>60.810749999999999</v>
      </c>
      <c r="N298" s="656"/>
      <c r="O298" s="656"/>
      <c r="P298" s="13" t="s">
        <v>7</v>
      </c>
    </row>
    <row r="299" spans="2:20" ht="14.25">
      <c r="J299" t="s">
        <v>194</v>
      </c>
      <c r="L299" s="29" t="s">
        <v>0</v>
      </c>
      <c r="M299" s="576">
        <f>SUM(M287:M298)</f>
        <v>127.63575</v>
      </c>
      <c r="N299" s="581"/>
      <c r="O299" s="581"/>
      <c r="P299" t="s">
        <v>7</v>
      </c>
    </row>
    <row r="301" spans="2:20">
      <c r="B301" s="16" t="s">
        <v>218</v>
      </c>
      <c r="C301" s="1" t="s">
        <v>0</v>
      </c>
      <c r="D301" s="579">
        <f>$M$299</f>
        <v>127.63575</v>
      </c>
      <c r="E301" s="612"/>
      <c r="F301" s="612"/>
      <c r="G301" t="s">
        <v>1</v>
      </c>
      <c r="H301" s="7">
        <v>1.84</v>
      </c>
      <c r="I301" t="s">
        <v>1</v>
      </c>
      <c r="J301" s="20">
        <v>14</v>
      </c>
      <c r="K301" s="29" t="s">
        <v>0</v>
      </c>
      <c r="L301" s="576">
        <f>D301*H301*J301</f>
        <v>3287.8969200000001</v>
      </c>
      <c r="M301" s="576"/>
      <c r="N301" s="576"/>
      <c r="O301" t="s">
        <v>58</v>
      </c>
    </row>
    <row r="302" spans="2:20">
      <c r="F302" s="8" t="s">
        <v>9</v>
      </c>
      <c r="G302" s="582">
        <v>3</v>
      </c>
      <c r="H302" s="582"/>
      <c r="I302" s="597" t="s">
        <v>59</v>
      </c>
      <c r="J302" s="598"/>
      <c r="R302" s="29" t="s">
        <v>0</v>
      </c>
      <c r="S302" s="16" t="s">
        <v>11</v>
      </c>
      <c r="T302" s="11">
        <f>ROUND(L301*G302,0)</f>
        <v>9864</v>
      </c>
    </row>
    <row r="304" spans="2:20">
      <c r="B304" t="s">
        <v>198</v>
      </c>
    </row>
    <row r="305" spans="1:20">
      <c r="B305" s="16" t="s">
        <v>218</v>
      </c>
      <c r="C305" s="1" t="s">
        <v>0</v>
      </c>
      <c r="D305" s="579">
        <f>$M$299</f>
        <v>127.63575</v>
      </c>
      <c r="E305" s="612"/>
      <c r="F305" s="612"/>
      <c r="G305" t="s">
        <v>1</v>
      </c>
      <c r="H305" s="7">
        <v>1.84</v>
      </c>
      <c r="I305" t="s">
        <v>1</v>
      </c>
      <c r="J305" s="20">
        <v>1</v>
      </c>
      <c r="K305" s="29" t="s">
        <v>0</v>
      </c>
      <c r="L305" s="576">
        <f>D305*H305*J305</f>
        <v>234.84978000000001</v>
      </c>
      <c r="M305" s="576"/>
      <c r="N305" s="576"/>
      <c r="O305" t="s">
        <v>58</v>
      </c>
    </row>
    <row r="306" spans="1:20">
      <c r="F306" s="8" t="s">
        <v>9</v>
      </c>
      <c r="G306" s="582">
        <v>4.3</v>
      </c>
      <c r="H306" s="582"/>
      <c r="I306" s="597" t="s">
        <v>59</v>
      </c>
      <c r="J306" s="598"/>
      <c r="R306" s="29" t="s">
        <v>0</v>
      </c>
      <c r="S306" s="16" t="s">
        <v>11</v>
      </c>
      <c r="T306" s="11">
        <f>ROUND(L305*G306,0)</f>
        <v>1010</v>
      </c>
    </row>
    <row r="309" spans="1:20">
      <c r="A309" s="1" t="s">
        <v>199</v>
      </c>
      <c r="B309" t="s">
        <v>200</v>
      </c>
    </row>
    <row r="310" spans="1:20">
      <c r="B310" t="s">
        <v>219</v>
      </c>
    </row>
    <row r="311" spans="1:20" ht="14.25">
      <c r="B311" t="s">
        <v>221</v>
      </c>
      <c r="J311" s="29" t="s">
        <v>0</v>
      </c>
      <c r="K311" s="579">
        <f>$M$284</f>
        <v>310.06799999999998</v>
      </c>
      <c r="L311" s="579"/>
      <c r="M311" t="s">
        <v>7</v>
      </c>
    </row>
    <row r="312" spans="1:20">
      <c r="F312" s="8" t="s">
        <v>9</v>
      </c>
      <c r="G312" s="582">
        <v>102</v>
      </c>
      <c r="H312" s="582"/>
      <c r="I312" s="102" t="s">
        <v>203</v>
      </c>
      <c r="J312" s="103"/>
      <c r="R312" s="29" t="s">
        <v>0</v>
      </c>
      <c r="S312" s="16" t="s">
        <v>11</v>
      </c>
      <c r="T312" s="11">
        <f>ROUND(K311*G312,0)</f>
        <v>31627</v>
      </c>
    </row>
    <row r="314" spans="1:20">
      <c r="B314" t="s">
        <v>204</v>
      </c>
    </row>
    <row r="315" spans="1:20" ht="14.25">
      <c r="B315" t="s">
        <v>221</v>
      </c>
      <c r="J315" s="29" t="s">
        <v>0</v>
      </c>
      <c r="K315" s="579">
        <f>$M$299</f>
        <v>127.63575</v>
      </c>
      <c r="L315" s="579"/>
      <c r="M315" t="s">
        <v>7</v>
      </c>
    </row>
    <row r="316" spans="1:20">
      <c r="F316" s="8" t="s">
        <v>9</v>
      </c>
      <c r="G316" s="582">
        <v>40.799999999999997</v>
      </c>
      <c r="H316" s="582"/>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666" t="s">
        <v>167</v>
      </c>
      <c r="C333" s="669"/>
      <c r="D333" s="669"/>
      <c r="E333" s="669"/>
      <c r="F333" s="669"/>
      <c r="G333" s="669"/>
      <c r="H333" s="669"/>
      <c r="I333" s="669"/>
      <c r="J333" s="669"/>
      <c r="K333" s="669"/>
      <c r="L333" s="669"/>
      <c r="M333" s="669"/>
      <c r="N333" s="669"/>
      <c r="O333" s="669"/>
      <c r="P333" s="669"/>
      <c r="Q333" s="669"/>
      <c r="R333" s="669"/>
      <c r="S333" s="669"/>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627" t="s">
        <v>149</v>
      </c>
      <c r="C335" s="627"/>
      <c r="D335" s="627"/>
      <c r="E335" s="627"/>
      <c r="F335" s="627"/>
      <c r="G335" s="627"/>
      <c r="H335" s="627"/>
      <c r="I335" s="627"/>
      <c r="J335" s="627"/>
      <c r="K335" s="627"/>
      <c r="L335" s="627"/>
      <c r="M335" s="627"/>
      <c r="N335" s="627"/>
      <c r="O335" s="627"/>
      <c r="P335" s="627"/>
      <c r="Q335" s="627"/>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653">
        <v>34735.56</v>
      </c>
      <c r="N337" s="653"/>
      <c r="O337" s="653"/>
      <c r="P337" s="92" t="s">
        <v>16</v>
      </c>
      <c r="Q337" s="92"/>
    </row>
    <row r="338" spans="1:20" ht="14.25">
      <c r="A338" s="18"/>
      <c r="B338" s="61" t="s">
        <v>217</v>
      </c>
      <c r="C338" s="649">
        <v>0.25</v>
      </c>
      <c r="D338" s="649"/>
      <c r="E338" s="649"/>
      <c r="F338" s="34" t="s">
        <v>1</v>
      </c>
      <c r="G338" s="599">
        <v>34735.56</v>
      </c>
      <c r="H338" s="599"/>
      <c r="I338" s="599"/>
      <c r="J338" s="96" t="s">
        <v>0</v>
      </c>
      <c r="K338" s="613">
        <f>G338*C338</f>
        <v>8683.89</v>
      </c>
      <c r="L338" s="613"/>
      <c r="M338" s="613"/>
      <c r="N338" s="64" t="s">
        <v>7</v>
      </c>
      <c r="O338" s="35"/>
      <c r="P338" s="19"/>
      <c r="Q338" s="18"/>
      <c r="R338" s="18"/>
      <c r="S338" s="18"/>
      <c r="T338" s="18"/>
    </row>
    <row r="339" spans="1:20" ht="14.25">
      <c r="B339" s="43"/>
      <c r="C339" s="1"/>
      <c r="F339" s="8" t="s">
        <v>9</v>
      </c>
      <c r="G339" s="582">
        <v>72</v>
      </c>
      <c r="H339" s="582"/>
      <c r="I339" s="597" t="s">
        <v>10</v>
      </c>
      <c r="J339" s="598"/>
      <c r="R339" s="29" t="s">
        <v>0</v>
      </c>
      <c r="S339" s="16" t="s">
        <v>11</v>
      </c>
      <c r="T339" s="11">
        <f>ROUND(K338*G339,0)</f>
        <v>625240</v>
      </c>
    </row>
    <row r="343" spans="1:20" ht="42" customHeight="1">
      <c r="A343" s="54" t="s">
        <v>151</v>
      </c>
      <c r="B343" s="627" t="s">
        <v>152</v>
      </c>
      <c r="C343" s="627"/>
      <c r="D343" s="627"/>
      <c r="E343" s="627"/>
      <c r="F343" s="627"/>
      <c r="G343" s="627"/>
      <c r="H343" s="627"/>
      <c r="I343" s="627"/>
      <c r="J343" s="627"/>
      <c r="K343" s="627"/>
      <c r="L343" s="627"/>
      <c r="M343" s="627"/>
      <c r="N343" s="627"/>
      <c r="O343" s="627"/>
      <c r="P343" s="627"/>
      <c r="Q343" s="627"/>
    </row>
    <row r="344" spans="1:20" ht="14.25">
      <c r="A344" s="42"/>
      <c r="B344" s="97" t="s">
        <v>252</v>
      </c>
      <c r="C344" s="92"/>
      <c r="D344" s="92"/>
      <c r="E344" s="92"/>
      <c r="F344" s="92"/>
      <c r="G344" s="53"/>
      <c r="H344" s="92"/>
      <c r="I344" s="92"/>
      <c r="J344" s="92"/>
      <c r="K344" s="92"/>
      <c r="L344" s="92"/>
      <c r="M344" s="662">
        <v>51113.89</v>
      </c>
      <c r="N344" s="662"/>
      <c r="O344" s="662"/>
      <c r="P344" s="92" t="s">
        <v>16</v>
      </c>
      <c r="Q344" s="92"/>
    </row>
    <row r="345" spans="1:20" ht="14.25">
      <c r="B345" s="43"/>
      <c r="C345" s="1"/>
      <c r="F345" s="8" t="s">
        <v>9</v>
      </c>
      <c r="G345" s="582">
        <v>16</v>
      </c>
      <c r="H345" s="582"/>
      <c r="I345" s="597" t="s">
        <v>17</v>
      </c>
      <c r="J345" s="598"/>
      <c r="R345" s="29" t="s">
        <v>0</v>
      </c>
      <c r="S345" s="16" t="s">
        <v>11</v>
      </c>
      <c r="T345" s="11">
        <f>ROUND(M344*G345,0)</f>
        <v>817822</v>
      </c>
    </row>
    <row r="349" spans="1:20">
      <c r="A349" s="663" t="s">
        <v>154</v>
      </c>
      <c r="B349" s="664" t="s">
        <v>144</v>
      </c>
      <c r="C349" s="665"/>
      <c r="D349" s="665"/>
      <c r="E349" s="665"/>
      <c r="F349" s="665"/>
      <c r="G349" s="665"/>
      <c r="H349" s="665"/>
      <c r="I349" s="665"/>
      <c r="J349" s="665"/>
      <c r="K349" s="665"/>
      <c r="L349" s="665"/>
      <c r="M349" s="665"/>
      <c r="N349" s="665"/>
      <c r="O349" s="665"/>
      <c r="P349" s="665"/>
      <c r="Q349" s="665"/>
      <c r="R349" s="59"/>
      <c r="S349" s="59"/>
      <c r="T349" s="59"/>
    </row>
    <row r="350" spans="1:20" ht="54.75" customHeight="1">
      <c r="A350" s="663"/>
      <c r="B350" s="627" t="s">
        <v>145</v>
      </c>
      <c r="C350" s="627"/>
      <c r="D350" s="627"/>
      <c r="E350" s="627"/>
      <c r="F350" s="627"/>
      <c r="G350" s="627"/>
      <c r="H350" s="627"/>
      <c r="I350" s="627"/>
      <c r="J350" s="627"/>
      <c r="K350" s="627"/>
      <c r="L350" s="627"/>
      <c r="M350" s="627"/>
      <c r="N350" s="627"/>
      <c r="O350" s="627"/>
      <c r="P350" s="627"/>
      <c r="Q350" s="627"/>
    </row>
    <row r="351" spans="1:20">
      <c r="A351" s="52"/>
      <c r="B351" s="599" t="s">
        <v>153</v>
      </c>
      <c r="C351" s="599"/>
      <c r="D351" s="599"/>
      <c r="E351" s="599"/>
      <c r="F351" s="599"/>
      <c r="G351" s="599"/>
      <c r="H351" s="599"/>
      <c r="I351" s="599"/>
      <c r="J351" s="599"/>
      <c r="K351" s="599"/>
      <c r="L351" s="599"/>
      <c r="M351" s="599"/>
      <c r="N351" s="599"/>
      <c r="O351" s="599"/>
      <c r="P351" s="599"/>
      <c r="Q351" s="599"/>
    </row>
    <row r="352" spans="1:20" ht="14.25">
      <c r="A352" s="42"/>
      <c r="B352" s="661" t="s">
        <v>251</v>
      </c>
      <c r="C352" s="661"/>
      <c r="D352" s="661"/>
      <c r="E352" s="661"/>
      <c r="F352" s="661"/>
      <c r="G352" s="661"/>
      <c r="H352" s="95" t="s">
        <v>0</v>
      </c>
      <c r="I352" s="599">
        <v>34735.56</v>
      </c>
      <c r="J352" s="599"/>
      <c r="K352" s="599"/>
      <c r="L352" s="64" t="s">
        <v>16</v>
      </c>
      <c r="M352" s="53"/>
      <c r="N352" s="92"/>
      <c r="O352" s="92"/>
      <c r="P352" s="92"/>
      <c r="Q352" s="92"/>
    </row>
    <row r="353" spans="1:20" ht="14.25">
      <c r="A353" s="18"/>
      <c r="B353" s="61" t="s">
        <v>172</v>
      </c>
      <c r="C353" s="35"/>
      <c r="D353" s="33"/>
      <c r="E353" s="33"/>
      <c r="F353" s="34"/>
      <c r="G353" s="53"/>
      <c r="H353" s="95" t="s">
        <v>0</v>
      </c>
      <c r="I353" s="613">
        <f>I352*0.1</f>
        <v>3473.556</v>
      </c>
      <c r="J353" s="613"/>
      <c r="K353" s="613"/>
      <c r="L353" s="64" t="s">
        <v>7</v>
      </c>
      <c r="M353" s="33"/>
      <c r="N353" s="33"/>
      <c r="O353" s="35"/>
      <c r="P353" s="19"/>
      <c r="Q353" s="18"/>
      <c r="R353" s="18"/>
      <c r="S353" s="18"/>
      <c r="T353" s="18"/>
    </row>
    <row r="354" spans="1:20" ht="14.25">
      <c r="B354" s="43"/>
      <c r="C354" s="1"/>
      <c r="F354" s="8" t="s">
        <v>9</v>
      </c>
      <c r="G354" s="582">
        <v>540</v>
      </c>
      <c r="H354" s="582"/>
      <c r="I354" s="597" t="s">
        <v>10</v>
      </c>
      <c r="J354" s="598"/>
      <c r="R354" s="29" t="s">
        <v>0</v>
      </c>
      <c r="S354" s="16" t="s">
        <v>11</v>
      </c>
      <c r="T354" s="11">
        <f>ROUND(I353*G354,0)</f>
        <v>1875720</v>
      </c>
    </row>
    <row r="358" spans="1:20" ht="84" customHeight="1">
      <c r="A358" s="54" t="s">
        <v>155</v>
      </c>
      <c r="B358" s="627" t="s">
        <v>146</v>
      </c>
      <c r="C358" s="627"/>
      <c r="D358" s="627"/>
      <c r="E358" s="627"/>
      <c r="F358" s="627"/>
      <c r="G358" s="627"/>
      <c r="H358" s="627"/>
      <c r="I358" s="627"/>
      <c r="J358" s="627"/>
      <c r="K358" s="627"/>
      <c r="L358" s="627"/>
      <c r="M358" s="627"/>
      <c r="N358" s="627"/>
      <c r="O358" s="627"/>
      <c r="P358" s="627"/>
      <c r="Q358" s="627"/>
    </row>
    <row r="359" spans="1:20">
      <c r="A359" s="54"/>
      <c r="B359" s="617" t="s">
        <v>147</v>
      </c>
      <c r="C359" s="617"/>
      <c r="D359" s="617"/>
      <c r="E359" s="617"/>
      <c r="F359" s="617"/>
      <c r="G359" s="617"/>
      <c r="H359" s="617"/>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613">
        <f>$G$338</f>
        <v>34735.56</v>
      </c>
      <c r="J362" s="613"/>
      <c r="K362" s="613"/>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613">
        <f>I362*0.091*2</f>
        <v>6321.8719199999996</v>
      </c>
      <c r="J364" s="613"/>
      <c r="K364" s="613"/>
      <c r="L364" s="64" t="s">
        <v>7</v>
      </c>
      <c r="M364" s="33"/>
      <c r="N364" s="33"/>
      <c r="O364" s="35"/>
      <c r="P364" s="19"/>
      <c r="Q364" s="18"/>
      <c r="R364" s="18"/>
      <c r="S364" s="18"/>
      <c r="T364" s="18"/>
    </row>
    <row r="365" spans="1:20" ht="14.25">
      <c r="B365" s="43"/>
      <c r="C365" s="1"/>
      <c r="F365" s="8" t="s">
        <v>9</v>
      </c>
      <c r="G365" s="582">
        <v>628</v>
      </c>
      <c r="H365" s="582"/>
      <c r="I365" s="597" t="s">
        <v>10</v>
      </c>
      <c r="J365" s="598"/>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613">
        <v>85849.45</v>
      </c>
      <c r="J373" s="613"/>
      <c r="K373" s="613"/>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613">
        <f>I373*0.091*2</f>
        <v>15624.599899999999</v>
      </c>
      <c r="J375" s="613"/>
      <c r="K375" s="613"/>
      <c r="L375" s="64" t="s">
        <v>7</v>
      </c>
      <c r="M375" s="33"/>
      <c r="N375" s="33"/>
      <c r="O375" s="35"/>
      <c r="P375" s="19"/>
      <c r="Q375" s="18"/>
      <c r="R375" s="18"/>
      <c r="S375" s="18"/>
    </row>
    <row r="376" spans="1:20" ht="14.25">
      <c r="B376" s="43"/>
      <c r="C376" s="1"/>
      <c r="F376" s="8" t="s">
        <v>9</v>
      </c>
      <c r="G376" s="582">
        <v>665</v>
      </c>
      <c r="H376" s="582"/>
      <c r="I376" s="597" t="s">
        <v>10</v>
      </c>
      <c r="J376" s="598"/>
      <c r="R376" s="29" t="s">
        <v>0</v>
      </c>
      <c r="S376" s="16" t="s">
        <v>11</v>
      </c>
      <c r="T376" s="11">
        <f>ROUND(I375*G376,0)</f>
        <v>10390359</v>
      </c>
    </row>
    <row r="380" spans="1:20" ht="43.5" customHeight="1">
      <c r="A380" s="54" t="s">
        <v>162</v>
      </c>
      <c r="B380" s="627" t="s">
        <v>163</v>
      </c>
      <c r="C380" s="627"/>
      <c r="D380" s="627"/>
      <c r="E380" s="627"/>
      <c r="F380" s="627"/>
      <c r="G380" s="627"/>
      <c r="H380" s="627"/>
      <c r="I380" s="627"/>
      <c r="J380" s="627"/>
      <c r="K380" s="627"/>
      <c r="L380" s="627"/>
      <c r="M380" s="627"/>
      <c r="N380" s="627"/>
      <c r="O380" s="627"/>
      <c r="P380" s="627"/>
      <c r="Q380" s="627"/>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613">
        <f>$I$373</f>
        <v>85849.45</v>
      </c>
      <c r="J382" s="613"/>
      <c r="K382" s="613"/>
      <c r="L382" s="64" t="s">
        <v>16</v>
      </c>
    </row>
    <row r="383" spans="1:20" ht="14.25">
      <c r="F383" s="8" t="s">
        <v>9</v>
      </c>
      <c r="G383" s="582">
        <v>28</v>
      </c>
      <c r="H383" s="582"/>
      <c r="I383" s="597" t="s">
        <v>17</v>
      </c>
      <c r="J383" s="598"/>
      <c r="R383" s="29" t="s">
        <v>0</v>
      </c>
      <c r="S383" s="16" t="s">
        <v>11</v>
      </c>
      <c r="T383" s="11">
        <f>ROUND(I382*G383,0)</f>
        <v>2403785</v>
      </c>
    </row>
    <row r="387" spans="1:20" ht="44.25" customHeight="1">
      <c r="A387" s="54" t="s">
        <v>165</v>
      </c>
      <c r="B387" s="627" t="s">
        <v>265</v>
      </c>
      <c r="C387" s="627"/>
      <c r="D387" s="627"/>
      <c r="E387" s="627"/>
      <c r="F387" s="627"/>
      <c r="G387" s="627"/>
      <c r="H387" s="627"/>
      <c r="I387" s="627"/>
      <c r="J387" s="627"/>
      <c r="K387" s="627"/>
      <c r="L387" s="627"/>
      <c r="M387" s="627"/>
      <c r="N387" s="627"/>
      <c r="O387" s="627"/>
      <c r="P387" s="627"/>
      <c r="Q387" s="627"/>
    </row>
    <row r="388" spans="1:20">
      <c r="B388" t="s">
        <v>166</v>
      </c>
    </row>
    <row r="389" spans="1:20" ht="14.25">
      <c r="B389" s="61" t="s">
        <v>254</v>
      </c>
      <c r="C389" s="35"/>
      <c r="D389" s="33"/>
      <c r="E389" s="33"/>
      <c r="F389" s="34"/>
      <c r="G389" s="33"/>
      <c r="H389" s="34"/>
      <c r="I389" s="613">
        <f>$I$382</f>
        <v>85849.45</v>
      </c>
      <c r="J389" s="613"/>
      <c r="K389" s="613"/>
      <c r="L389" s="64" t="s">
        <v>16</v>
      </c>
    </row>
    <row r="390" spans="1:20" ht="14.25">
      <c r="F390" s="8" t="s">
        <v>9</v>
      </c>
      <c r="G390" s="582">
        <v>7.65</v>
      </c>
      <c r="H390" s="582"/>
      <c r="I390" s="597" t="s">
        <v>17</v>
      </c>
      <c r="J390" s="598"/>
      <c r="R390" s="29" t="s">
        <v>0</v>
      </c>
      <c r="S390" s="16" t="s">
        <v>11</v>
      </c>
      <c r="T390" s="11">
        <f>ROUND(I389*G390,0)</f>
        <v>656748</v>
      </c>
    </row>
    <row r="391" spans="1:20">
      <c r="F391" s="8"/>
      <c r="G391" s="17"/>
      <c r="H391" s="17"/>
      <c r="I391" s="9"/>
      <c r="J391" s="10"/>
      <c r="R391" s="29"/>
      <c r="S391" s="16"/>
      <c r="T391" s="11"/>
    </row>
    <row r="394" spans="1:20" ht="81" customHeight="1">
      <c r="A394" s="54" t="s">
        <v>176</v>
      </c>
      <c r="B394" s="627" t="s">
        <v>177</v>
      </c>
      <c r="C394" s="627"/>
      <c r="D394" s="627"/>
      <c r="E394" s="627"/>
      <c r="F394" s="627"/>
      <c r="G394" s="627"/>
      <c r="H394" s="627"/>
      <c r="I394" s="627"/>
      <c r="J394" s="627"/>
      <c r="K394" s="627"/>
      <c r="L394" s="627"/>
      <c r="M394" s="627"/>
      <c r="N394" s="627"/>
      <c r="O394" s="627"/>
      <c r="P394" s="627"/>
      <c r="Q394" s="627"/>
    </row>
    <row r="395" spans="1:20" ht="14.25">
      <c r="B395" s="61" t="s">
        <v>254</v>
      </c>
      <c r="C395" s="35"/>
      <c r="D395" s="33"/>
      <c r="E395" s="33"/>
      <c r="F395" s="34"/>
      <c r="G395" s="33"/>
      <c r="H395" s="34"/>
      <c r="I395" s="613">
        <f>$I$382</f>
        <v>85849.45</v>
      </c>
      <c r="J395" s="613"/>
      <c r="K395" s="613"/>
      <c r="L395" s="64" t="s">
        <v>16</v>
      </c>
    </row>
    <row r="396" spans="1:20" ht="14.25">
      <c r="F396" s="8" t="s">
        <v>9</v>
      </c>
      <c r="G396" s="582">
        <v>77</v>
      </c>
      <c r="H396" s="582"/>
      <c r="I396" s="597" t="s">
        <v>17</v>
      </c>
      <c r="J396" s="598"/>
      <c r="R396" s="29" t="s">
        <v>0</v>
      </c>
      <c r="S396" s="16" t="s">
        <v>11</v>
      </c>
      <c r="T396" s="11">
        <f>ROUND(I395*G396,0)</f>
        <v>6610408</v>
      </c>
    </row>
    <row r="397" spans="1:20">
      <c r="F397" s="8"/>
      <c r="G397" s="17"/>
      <c r="H397" s="17"/>
      <c r="I397" s="9"/>
      <c r="J397" s="10"/>
      <c r="R397" s="29"/>
      <c r="S397" s="16"/>
      <c r="T397" s="11"/>
    </row>
    <row r="400" spans="1:20" ht="56.25" customHeight="1">
      <c r="A400" s="54" t="s">
        <v>178</v>
      </c>
      <c r="B400" s="627" t="s">
        <v>179</v>
      </c>
      <c r="C400" s="627"/>
      <c r="D400" s="627"/>
      <c r="E400" s="627"/>
      <c r="F400" s="627"/>
      <c r="G400" s="627"/>
      <c r="H400" s="627"/>
      <c r="I400" s="627"/>
      <c r="J400" s="627"/>
      <c r="K400" s="627"/>
      <c r="L400" s="627"/>
      <c r="M400" s="627"/>
      <c r="N400" s="627"/>
      <c r="O400" s="627"/>
      <c r="P400" s="627"/>
      <c r="Q400" s="627"/>
    </row>
    <row r="401" spans="1:20" ht="14.25">
      <c r="B401" s="61" t="s">
        <v>254</v>
      </c>
      <c r="C401" s="35"/>
      <c r="D401" s="33"/>
      <c r="E401" s="33"/>
      <c r="F401" s="34"/>
      <c r="G401" s="33"/>
      <c r="H401" s="34"/>
      <c r="I401" s="613">
        <f>$I$395</f>
        <v>85849.45</v>
      </c>
      <c r="J401" s="613"/>
      <c r="K401" s="613"/>
      <c r="L401" s="64" t="s">
        <v>16</v>
      </c>
    </row>
    <row r="402" spans="1:20" ht="14.25">
      <c r="F402" s="8" t="s">
        <v>9</v>
      </c>
      <c r="G402" s="582">
        <v>34</v>
      </c>
      <c r="H402" s="582"/>
      <c r="I402" s="597" t="s">
        <v>17</v>
      </c>
      <c r="J402" s="598"/>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615" t="s">
        <v>211</v>
      </c>
      <c r="C412" s="615"/>
      <c r="D412" s="615"/>
      <c r="E412" s="615"/>
      <c r="F412" s="615"/>
      <c r="G412" s="615"/>
      <c r="H412" s="615"/>
      <c r="I412" s="615"/>
      <c r="J412" s="615"/>
      <c r="K412" s="615"/>
      <c r="L412" s="615"/>
      <c r="M412" s="615"/>
      <c r="N412" s="615"/>
      <c r="O412" s="615"/>
      <c r="P412" s="615"/>
      <c r="Q412" s="615"/>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576">
        <f>I353*50%</f>
        <v>1736.778</v>
      </c>
      <c r="N415" s="576"/>
      <c r="O415" s="576"/>
      <c r="P415" t="s">
        <v>7</v>
      </c>
    </row>
    <row r="416" spans="1:20" ht="14.25">
      <c r="B416" s="98" t="s">
        <v>189</v>
      </c>
      <c r="C416" s="94"/>
      <c r="D416" s="94"/>
      <c r="E416" s="94"/>
      <c r="F416" s="94"/>
      <c r="G416" s="94"/>
      <c r="H416" s="94"/>
      <c r="I416" s="94"/>
      <c r="J416" s="94"/>
      <c r="L416" s="29" t="s">
        <v>0</v>
      </c>
      <c r="M416" s="660">
        <v>6315.61</v>
      </c>
      <c r="N416" s="660"/>
      <c r="O416" s="660"/>
      <c r="P416" t="s">
        <v>7</v>
      </c>
    </row>
    <row r="417" spans="2:20" ht="14.25">
      <c r="B417" s="98" t="s">
        <v>182</v>
      </c>
      <c r="C417" s="94"/>
      <c r="D417" s="94"/>
      <c r="E417" s="94"/>
      <c r="F417" s="94"/>
      <c r="G417" s="94"/>
      <c r="H417" s="94"/>
      <c r="I417" s="94"/>
      <c r="J417" s="94"/>
      <c r="L417" s="29" t="s">
        <v>0</v>
      </c>
      <c r="M417" s="576">
        <v>15624.6</v>
      </c>
      <c r="N417" s="576"/>
      <c r="O417" s="576"/>
      <c r="P417" t="s">
        <v>7</v>
      </c>
    </row>
    <row r="418" spans="2:20">
      <c r="B418" t="s">
        <v>181</v>
      </c>
    </row>
    <row r="419" spans="2:20" ht="14.25">
      <c r="B419" t="s">
        <v>180</v>
      </c>
      <c r="I419" s="576">
        <f>$I$395</f>
        <v>85849.45</v>
      </c>
      <c r="J419" s="581"/>
      <c r="K419" s="581"/>
      <c r="L419" s="64" t="s">
        <v>16</v>
      </c>
    </row>
    <row r="420" spans="2:20" ht="14.25">
      <c r="B420" s="16" t="s">
        <v>183</v>
      </c>
      <c r="C420" t="s">
        <v>184</v>
      </c>
      <c r="L420" s="29" t="s">
        <v>0</v>
      </c>
      <c r="M420" s="581">
        <f>I419*0.018</f>
        <v>1545.2900999999999</v>
      </c>
      <c r="N420" s="581"/>
      <c r="O420" s="581"/>
      <c r="P420" t="s">
        <v>7</v>
      </c>
    </row>
    <row r="421" spans="2:20" ht="14.25">
      <c r="B421" s="16" t="s">
        <v>185</v>
      </c>
      <c r="C421" t="s">
        <v>186</v>
      </c>
      <c r="L421" s="29" t="s">
        <v>0</v>
      </c>
      <c r="M421" s="576">
        <f>I419*0.009</f>
        <v>772.64504999999997</v>
      </c>
      <c r="N421" s="576"/>
      <c r="O421" s="576"/>
      <c r="P421" t="s">
        <v>7</v>
      </c>
    </row>
    <row r="422" spans="2:20" ht="14.25">
      <c r="B422" s="16" t="s">
        <v>187</v>
      </c>
      <c r="C422" t="s">
        <v>188</v>
      </c>
      <c r="L422" s="29" t="s">
        <v>0</v>
      </c>
      <c r="M422" s="576">
        <f>I419*0.009</f>
        <v>772.64504999999997</v>
      </c>
      <c r="N422" s="576"/>
      <c r="O422" s="576"/>
      <c r="P422" t="s">
        <v>7</v>
      </c>
    </row>
    <row r="423" spans="2:20">
      <c r="B423" s="16"/>
      <c r="L423" s="29"/>
      <c r="M423" s="2"/>
      <c r="N423" s="2"/>
      <c r="O423" s="2"/>
    </row>
    <row r="425" spans="2:20">
      <c r="B425" s="3" t="s">
        <v>196</v>
      </c>
    </row>
    <row r="426" spans="2:20" ht="14.25">
      <c r="B426" t="s">
        <v>191</v>
      </c>
      <c r="L426" s="29" t="s">
        <v>0</v>
      </c>
      <c r="M426" s="576">
        <f>I364*50%</f>
        <v>3160.9359599999998</v>
      </c>
      <c r="N426" s="576"/>
      <c r="O426" s="576"/>
      <c r="P426" t="s">
        <v>7</v>
      </c>
    </row>
    <row r="427" spans="2:20" ht="14.25">
      <c r="B427" t="s">
        <v>192</v>
      </c>
      <c r="L427" s="29" t="s">
        <v>0</v>
      </c>
      <c r="M427" s="576">
        <f>M416*25%</f>
        <v>1578.9024999999999</v>
      </c>
      <c r="N427" s="576"/>
      <c r="O427" s="576"/>
      <c r="P427" t="s">
        <v>7</v>
      </c>
    </row>
    <row r="428" spans="2:20" ht="14.25">
      <c r="B428" t="s">
        <v>193</v>
      </c>
      <c r="J428" s="13"/>
      <c r="K428" s="13"/>
      <c r="L428" s="32" t="s">
        <v>0</v>
      </c>
      <c r="M428" s="656">
        <f>M417*25%</f>
        <v>3906.15</v>
      </c>
      <c r="N428" s="656"/>
      <c r="O428" s="656"/>
      <c r="P428" s="13" t="s">
        <v>7</v>
      </c>
    </row>
    <row r="429" spans="2:20" ht="14.25">
      <c r="J429" t="s">
        <v>194</v>
      </c>
      <c r="L429" s="29" t="s">
        <v>0</v>
      </c>
      <c r="M429" s="576">
        <f>SUM(M415:M428)</f>
        <v>35413.556659999995</v>
      </c>
      <c r="N429" s="581"/>
      <c r="O429" s="581"/>
      <c r="P429" t="s">
        <v>7</v>
      </c>
    </row>
    <row r="430" spans="2:20" ht="14.25">
      <c r="F430" s="8" t="s">
        <v>9</v>
      </c>
      <c r="G430" s="582">
        <v>53</v>
      </c>
      <c r="H430" s="582"/>
      <c r="I430" s="597" t="s">
        <v>10</v>
      </c>
      <c r="J430" s="598"/>
      <c r="R430" s="29" t="s">
        <v>0</v>
      </c>
      <c r="S430" s="16" t="s">
        <v>11</v>
      </c>
      <c r="T430" s="11">
        <f>ROUND(M429*G430,0)</f>
        <v>1876919</v>
      </c>
    </row>
    <row r="434" spans="1:16" ht="15" customHeight="1">
      <c r="A434">
        <v>1.3</v>
      </c>
      <c r="B434" t="s">
        <v>122</v>
      </c>
    </row>
    <row r="435" spans="1:16" ht="15" customHeight="1">
      <c r="B435" s="3" t="s">
        <v>124</v>
      </c>
    </row>
    <row r="436" spans="1:16">
      <c r="C436" s="598" t="s">
        <v>52</v>
      </c>
      <c r="D436" s="598"/>
      <c r="E436" s="598"/>
      <c r="F436" s="598"/>
      <c r="G436" s="598"/>
      <c r="H436" s="598"/>
      <c r="I436" s="598"/>
      <c r="J436" s="598"/>
      <c r="K436" s="598"/>
    </row>
    <row r="437" spans="1:16">
      <c r="C437" t="s">
        <v>53</v>
      </c>
      <c r="L437" s="17"/>
      <c r="M437" s="17"/>
      <c r="N437" s="17"/>
      <c r="O437" s="9"/>
      <c r="P437" s="10"/>
    </row>
    <row r="438" spans="1:16" ht="14.25">
      <c r="B438" t="s">
        <v>191</v>
      </c>
      <c r="L438" s="29" t="s">
        <v>0</v>
      </c>
      <c r="M438" s="576">
        <f>$M$415</f>
        <v>1736.778</v>
      </c>
      <c r="N438" s="576"/>
      <c r="O438" s="576"/>
      <c r="P438" t="s">
        <v>7</v>
      </c>
    </row>
    <row r="439" spans="1:16" ht="14.25">
      <c r="B439" s="98" t="s">
        <v>189</v>
      </c>
      <c r="C439" s="94"/>
      <c r="D439" s="94"/>
      <c r="E439" s="94"/>
      <c r="F439" s="94"/>
      <c r="G439" s="94"/>
      <c r="H439" s="94"/>
      <c r="I439" s="94"/>
      <c r="J439" s="94"/>
      <c r="L439" s="29" t="s">
        <v>0</v>
      </c>
      <c r="M439" s="660">
        <v>6315.61</v>
      </c>
      <c r="N439" s="660"/>
      <c r="O439" s="660"/>
      <c r="P439" t="s">
        <v>7</v>
      </c>
    </row>
    <row r="440" spans="1:16" ht="14.25">
      <c r="B440" s="98" t="s">
        <v>182</v>
      </c>
      <c r="C440" s="94"/>
      <c r="D440" s="94"/>
      <c r="E440" s="94"/>
      <c r="F440" s="94"/>
      <c r="G440" s="94"/>
      <c r="H440" s="94"/>
      <c r="I440" s="94"/>
      <c r="J440" s="94"/>
      <c r="L440" s="29" t="s">
        <v>0</v>
      </c>
      <c r="M440" s="576">
        <v>15624.6</v>
      </c>
      <c r="N440" s="576"/>
      <c r="O440" s="576"/>
      <c r="P440" t="s">
        <v>7</v>
      </c>
    </row>
    <row r="441" spans="1:16">
      <c r="B441" t="s">
        <v>181</v>
      </c>
    </row>
    <row r="442" spans="1:16" ht="14.25">
      <c r="B442" t="s">
        <v>180</v>
      </c>
      <c r="I442" s="576">
        <f>$I$395</f>
        <v>85849.45</v>
      </c>
      <c r="J442" s="581"/>
      <c r="K442" s="581"/>
      <c r="L442" s="64" t="s">
        <v>16</v>
      </c>
    </row>
    <row r="443" spans="1:16" ht="14.25">
      <c r="B443" s="16" t="s">
        <v>183</v>
      </c>
      <c r="C443" t="s">
        <v>184</v>
      </c>
      <c r="L443" s="29" t="s">
        <v>0</v>
      </c>
      <c r="M443" s="581">
        <f>I442*0.018</f>
        <v>1545.2900999999999</v>
      </c>
      <c r="N443" s="581"/>
      <c r="O443" s="581"/>
      <c r="P443" t="s">
        <v>7</v>
      </c>
    </row>
    <row r="444" spans="1:16" ht="14.25">
      <c r="B444" s="16" t="s">
        <v>185</v>
      </c>
      <c r="C444" t="s">
        <v>186</v>
      </c>
      <c r="L444" s="29" t="s">
        <v>0</v>
      </c>
      <c r="M444" s="576">
        <f>I442*0.009</f>
        <v>772.64504999999997</v>
      </c>
      <c r="N444" s="576"/>
      <c r="O444" s="576"/>
      <c r="P444" t="s">
        <v>7</v>
      </c>
    </row>
    <row r="445" spans="1:16" ht="14.25">
      <c r="B445" s="16" t="s">
        <v>187</v>
      </c>
      <c r="C445" t="s">
        <v>188</v>
      </c>
      <c r="J445" s="13"/>
      <c r="K445" s="13"/>
      <c r="L445" s="32" t="s">
        <v>0</v>
      </c>
      <c r="M445" s="656">
        <f>I442*0.009</f>
        <v>772.64504999999997</v>
      </c>
      <c r="N445" s="656"/>
      <c r="O445" s="656"/>
      <c r="P445" s="13" t="s">
        <v>7</v>
      </c>
    </row>
    <row r="446" spans="1:16" ht="14.25">
      <c r="J446" t="s">
        <v>194</v>
      </c>
      <c r="L446" s="29" t="s">
        <v>0</v>
      </c>
      <c r="M446" s="576">
        <f>SUM(M438:M445)</f>
        <v>26767.568199999998</v>
      </c>
      <c r="N446" s="581"/>
      <c r="O446" s="581"/>
      <c r="P446" t="s">
        <v>7</v>
      </c>
    </row>
    <row r="448" spans="1:16">
      <c r="B448" s="16" t="s">
        <v>197</v>
      </c>
      <c r="D448" s="579">
        <f>$M$446</f>
        <v>26767.568199999998</v>
      </c>
      <c r="E448" s="612"/>
      <c r="F448" s="612"/>
      <c r="G448" t="s">
        <v>1</v>
      </c>
      <c r="H448" s="7">
        <v>2.4</v>
      </c>
      <c r="I448" t="s">
        <v>1</v>
      </c>
      <c r="J448" s="20">
        <v>10</v>
      </c>
      <c r="K448" s="29" t="s">
        <v>0</v>
      </c>
      <c r="L448" s="576">
        <f>D448*H448*J448</f>
        <v>642421.63679999986</v>
      </c>
      <c r="M448" s="576"/>
      <c r="N448" s="576"/>
      <c r="O448" t="s">
        <v>58</v>
      </c>
    </row>
    <row r="449" spans="2:20">
      <c r="F449" s="8" t="s">
        <v>9</v>
      </c>
      <c r="G449" s="582">
        <v>3</v>
      </c>
      <c r="H449" s="582"/>
      <c r="I449" s="597" t="s">
        <v>59</v>
      </c>
      <c r="J449" s="598"/>
      <c r="R449" s="29" t="s">
        <v>0</v>
      </c>
      <c r="S449" s="16" t="s">
        <v>11</v>
      </c>
      <c r="T449" s="11">
        <f>ROUND(L448*G449,0)</f>
        <v>1927265</v>
      </c>
    </row>
    <row r="451" spans="2:20">
      <c r="B451" t="s">
        <v>198</v>
      </c>
    </row>
    <row r="452" spans="2:20">
      <c r="B452" s="16" t="s">
        <v>197</v>
      </c>
      <c r="D452" s="579">
        <f>$M$446</f>
        <v>26767.568199999998</v>
      </c>
      <c r="E452" s="612"/>
      <c r="F452" s="612"/>
      <c r="G452" t="s">
        <v>1</v>
      </c>
      <c r="H452" s="7">
        <v>2.4</v>
      </c>
      <c r="I452" t="s">
        <v>1</v>
      </c>
      <c r="J452" s="20">
        <v>1</v>
      </c>
      <c r="K452" s="29" t="s">
        <v>0</v>
      </c>
      <c r="L452" s="576">
        <f>D452*H452*J452</f>
        <v>64242.163679999991</v>
      </c>
      <c r="M452" s="576"/>
      <c r="N452" s="576"/>
      <c r="O452" t="s">
        <v>58</v>
      </c>
    </row>
    <row r="453" spans="2:20">
      <c r="F453" s="8" t="s">
        <v>9</v>
      </c>
      <c r="G453" s="582">
        <v>4.3</v>
      </c>
      <c r="H453" s="582"/>
      <c r="I453" s="597" t="s">
        <v>59</v>
      </c>
      <c r="J453" s="598"/>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581" t="s">
        <v>54</v>
      </c>
      <c r="D463" s="581"/>
      <c r="E463" s="581"/>
      <c r="F463" s="581"/>
      <c r="G463" s="581"/>
      <c r="H463" s="581"/>
      <c r="I463" s="581"/>
      <c r="J463" s="581"/>
      <c r="K463" s="581"/>
    </row>
    <row r="464" spans="2:20">
      <c r="C464" t="s">
        <v>55</v>
      </c>
    </row>
    <row r="465" spans="1:20" ht="14.25">
      <c r="B465" t="s">
        <v>191</v>
      </c>
      <c r="L465" s="29" t="s">
        <v>0</v>
      </c>
      <c r="M465" s="576">
        <f>I353*50%</f>
        <v>1736.778</v>
      </c>
      <c r="N465" s="576"/>
      <c r="O465" s="576"/>
      <c r="P465" t="s">
        <v>7</v>
      </c>
    </row>
    <row r="466" spans="1:20" ht="14.25">
      <c r="B466" t="s">
        <v>192</v>
      </c>
      <c r="L466" s="29" t="s">
        <v>0</v>
      </c>
      <c r="M466" s="576">
        <f>M416*25%</f>
        <v>1578.9024999999999</v>
      </c>
      <c r="N466" s="576"/>
      <c r="O466" s="576"/>
      <c r="P466" t="s">
        <v>7</v>
      </c>
    </row>
    <row r="467" spans="1:20" ht="14.25">
      <c r="B467" t="s">
        <v>193</v>
      </c>
      <c r="J467" s="13"/>
      <c r="K467" s="13"/>
      <c r="L467" s="32" t="s">
        <v>0</v>
      </c>
      <c r="M467" s="656">
        <f>M417*25%</f>
        <v>3906.15</v>
      </c>
      <c r="N467" s="656"/>
      <c r="O467" s="656"/>
      <c r="P467" s="13" t="s">
        <v>7</v>
      </c>
    </row>
    <row r="468" spans="1:20" ht="14.25">
      <c r="J468" t="s">
        <v>194</v>
      </c>
      <c r="L468" s="29" t="s">
        <v>0</v>
      </c>
      <c r="M468" s="576">
        <f>SUM(M449:M467)</f>
        <v>7221.8305</v>
      </c>
      <c r="N468" s="581"/>
      <c r="O468" s="581"/>
      <c r="P468" t="s">
        <v>7</v>
      </c>
    </row>
    <row r="470" spans="1:20">
      <c r="B470" s="16" t="s">
        <v>197</v>
      </c>
      <c r="D470" s="579">
        <f>$M$468</f>
        <v>7221.8305</v>
      </c>
      <c r="E470" s="612"/>
      <c r="F470" s="612"/>
      <c r="G470" t="s">
        <v>1</v>
      </c>
      <c r="H470" s="7">
        <v>1.84</v>
      </c>
      <c r="I470" t="s">
        <v>1</v>
      </c>
      <c r="J470" s="20">
        <v>14</v>
      </c>
      <c r="K470" s="29" t="s">
        <v>0</v>
      </c>
      <c r="L470" s="576">
        <f>D470*H470*J470</f>
        <v>186034.35368</v>
      </c>
      <c r="M470" s="576"/>
      <c r="N470" s="576"/>
      <c r="O470" t="s">
        <v>58</v>
      </c>
    </row>
    <row r="471" spans="1:20">
      <c r="F471" s="8" t="s">
        <v>9</v>
      </c>
      <c r="G471" s="582">
        <v>3</v>
      </c>
      <c r="H471" s="582"/>
      <c r="I471" s="597" t="s">
        <v>59</v>
      </c>
      <c r="J471" s="598"/>
      <c r="R471" s="29" t="s">
        <v>0</v>
      </c>
      <c r="S471" s="16" t="s">
        <v>11</v>
      </c>
      <c r="T471" s="11">
        <f>ROUND(L470*G471,0)</f>
        <v>558103</v>
      </c>
    </row>
    <row r="473" spans="1:20">
      <c r="B473" t="s">
        <v>198</v>
      </c>
    </row>
    <row r="474" spans="1:20">
      <c r="B474" s="16" t="s">
        <v>197</v>
      </c>
      <c r="D474" s="579">
        <f>$M$468</f>
        <v>7221.8305</v>
      </c>
      <c r="E474" s="612"/>
      <c r="F474" s="612"/>
      <c r="G474" t="s">
        <v>1</v>
      </c>
      <c r="H474" s="7">
        <v>1.54</v>
      </c>
      <c r="I474" t="s">
        <v>1</v>
      </c>
      <c r="J474" s="20">
        <v>1</v>
      </c>
      <c r="K474" s="29" t="s">
        <v>0</v>
      </c>
      <c r="L474" s="576">
        <f>D474*H474*J474</f>
        <v>11121.61897</v>
      </c>
      <c r="M474" s="576"/>
      <c r="N474" s="576"/>
      <c r="O474" t="s">
        <v>58</v>
      </c>
    </row>
    <row r="475" spans="1:20">
      <c r="F475" s="8" t="s">
        <v>9</v>
      </c>
      <c r="G475" s="582">
        <v>4.3</v>
      </c>
      <c r="H475" s="582"/>
      <c r="I475" s="597" t="s">
        <v>59</v>
      </c>
      <c r="J475" s="598"/>
      <c r="R475" s="29" t="s">
        <v>0</v>
      </c>
      <c r="S475" s="16" t="s">
        <v>11</v>
      </c>
      <c r="T475" s="11">
        <f>ROUND(L474*G475,0)</f>
        <v>47823</v>
      </c>
    </row>
    <row r="478" spans="1:20">
      <c r="A478" s="1" t="s">
        <v>199</v>
      </c>
      <c r="B478" t="s">
        <v>200</v>
      </c>
    </row>
    <row r="479" spans="1:20">
      <c r="B479" t="s">
        <v>201</v>
      </c>
    </row>
    <row r="480" spans="1:20" ht="14.25">
      <c r="B480" t="s">
        <v>202</v>
      </c>
      <c r="J480" s="29" t="s">
        <v>0</v>
      </c>
      <c r="K480" s="576">
        <f>$M$446</f>
        <v>26767.568199999998</v>
      </c>
      <c r="L480" s="581"/>
      <c r="M480" s="581"/>
      <c r="N480" t="s">
        <v>7</v>
      </c>
    </row>
    <row r="481" spans="2:20">
      <c r="F481" s="8" t="s">
        <v>9</v>
      </c>
      <c r="G481" s="582">
        <v>102</v>
      </c>
      <c r="H481" s="582"/>
      <c r="I481" s="102" t="s">
        <v>203</v>
      </c>
      <c r="J481" s="103"/>
      <c r="R481" s="29" t="s">
        <v>0</v>
      </c>
      <c r="S481" s="16" t="s">
        <v>11</v>
      </c>
      <c r="T481" s="11">
        <f>ROUND(K480*G481,0)</f>
        <v>2730292</v>
      </c>
    </row>
    <row r="483" spans="2:20">
      <c r="B483" t="s">
        <v>204</v>
      </c>
    </row>
    <row r="484" spans="2:20" ht="14.25">
      <c r="B484" t="s">
        <v>202</v>
      </c>
      <c r="J484" s="29" t="s">
        <v>0</v>
      </c>
      <c r="K484" s="576">
        <f>$M$468</f>
        <v>7221.8305</v>
      </c>
      <c r="L484" s="581"/>
      <c r="M484" s="581"/>
      <c r="N484" t="s">
        <v>7</v>
      </c>
    </row>
    <row r="485" spans="2:20">
      <c r="F485" s="8" t="s">
        <v>9</v>
      </c>
      <c r="G485" s="582">
        <v>40.799999999999997</v>
      </c>
      <c r="H485" s="582"/>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669" t="s">
        <v>205</v>
      </c>
      <c r="C516" s="669"/>
      <c r="D516" s="669"/>
      <c r="E516" s="669"/>
      <c r="F516" s="669"/>
      <c r="G516" s="669"/>
      <c r="H516" s="669"/>
      <c r="I516" s="669"/>
      <c r="J516" s="669"/>
      <c r="K516" s="669"/>
      <c r="L516" s="669"/>
      <c r="M516" s="669"/>
      <c r="N516" s="669"/>
      <c r="O516" s="669"/>
      <c r="P516" s="669"/>
      <c r="Q516" s="669"/>
      <c r="R516" s="669"/>
      <c r="S516" s="669"/>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666" t="s">
        <v>256</v>
      </c>
      <c r="C518" s="666"/>
      <c r="D518" s="666"/>
      <c r="E518" s="666"/>
      <c r="F518" s="666"/>
      <c r="G518" s="666"/>
      <c r="H518" s="666"/>
      <c r="I518" s="666"/>
      <c r="J518" s="666"/>
      <c r="K518" s="666"/>
      <c r="L518" s="666"/>
      <c r="M518" s="666"/>
      <c r="N518" s="666"/>
      <c r="O518" s="666"/>
      <c r="P518" s="666"/>
      <c r="Q518" s="666"/>
      <c r="R518" s="666"/>
      <c r="S518" s="666"/>
    </row>
    <row r="520" spans="1:20">
      <c r="A520" s="663" t="s">
        <v>154</v>
      </c>
      <c r="B520" s="664" t="s">
        <v>144</v>
      </c>
      <c r="C520" s="665"/>
      <c r="D520" s="665"/>
      <c r="E520" s="665"/>
      <c r="F520" s="665"/>
      <c r="G520" s="665"/>
      <c r="H520" s="665"/>
      <c r="I520" s="665"/>
      <c r="J520" s="665"/>
      <c r="K520" s="665"/>
      <c r="L520" s="665"/>
      <c r="M520" s="665"/>
      <c r="N520" s="665"/>
      <c r="O520" s="665"/>
      <c r="P520" s="665"/>
      <c r="Q520" s="665"/>
      <c r="R520" s="59"/>
      <c r="S520" s="59"/>
      <c r="T520" s="59"/>
    </row>
    <row r="521" spans="1:20" ht="60.75" customHeight="1">
      <c r="A521" s="663"/>
      <c r="B521" s="627" t="s">
        <v>145</v>
      </c>
      <c r="C521" s="627"/>
      <c r="D521" s="627"/>
      <c r="E521" s="627"/>
      <c r="F521" s="627"/>
      <c r="G521" s="627"/>
      <c r="H521" s="627"/>
      <c r="I521" s="627"/>
      <c r="J521" s="627"/>
      <c r="K521" s="627"/>
      <c r="L521" s="627"/>
      <c r="M521" s="627"/>
      <c r="N521" s="627"/>
      <c r="O521" s="627"/>
      <c r="P521" s="627"/>
      <c r="Q521" s="627"/>
    </row>
    <row r="522" spans="1:20">
      <c r="A522" s="52"/>
      <c r="B522" s="599" t="s">
        <v>153</v>
      </c>
      <c r="C522" s="599"/>
      <c r="D522" s="599"/>
      <c r="E522" s="599"/>
      <c r="F522" s="599"/>
      <c r="G522" s="599"/>
      <c r="H522" s="599"/>
      <c r="I522" s="599"/>
      <c r="J522" s="599"/>
      <c r="K522" s="599"/>
      <c r="L522" s="599"/>
      <c r="M522" s="599"/>
      <c r="N522" s="599"/>
      <c r="O522" s="599"/>
      <c r="P522" s="599"/>
      <c r="Q522" s="599"/>
    </row>
    <row r="523" spans="1:20" ht="14.25">
      <c r="B523" t="s">
        <v>207</v>
      </c>
      <c r="C523" s="29" t="s">
        <v>0</v>
      </c>
      <c r="D523">
        <v>2</v>
      </c>
      <c r="E523" t="s">
        <v>1</v>
      </c>
      <c r="F523" s="581">
        <v>15.518000000000001</v>
      </c>
      <c r="G523" s="581"/>
      <c r="H523" s="21" t="s">
        <v>206</v>
      </c>
      <c r="J523" s="2"/>
      <c r="K523" s="2"/>
      <c r="L523" s="29" t="s">
        <v>0</v>
      </c>
      <c r="M523" s="576">
        <f>D523*F523*1000*0.75</f>
        <v>23277</v>
      </c>
      <c r="N523" s="576"/>
      <c r="O523" s="576"/>
      <c r="P523" t="s">
        <v>16</v>
      </c>
    </row>
    <row r="524" spans="1:20">
      <c r="B524" t="s">
        <v>208</v>
      </c>
    </row>
    <row r="525" spans="1:20" ht="14.25">
      <c r="C525" s="29"/>
      <c r="E525" s="29" t="s">
        <v>0</v>
      </c>
      <c r="F525" s="20">
        <v>2</v>
      </c>
      <c r="G525" t="s">
        <v>1</v>
      </c>
      <c r="H525" s="24">
        <v>33</v>
      </c>
      <c r="I525" s="13" t="s">
        <v>1</v>
      </c>
      <c r="J525" s="12">
        <v>0.75</v>
      </c>
      <c r="K525" s="12"/>
      <c r="L525" s="32" t="s">
        <v>0</v>
      </c>
      <c r="M525" s="656">
        <f>F525*H525*J525</f>
        <v>49.5</v>
      </c>
      <c r="N525" s="656"/>
      <c r="O525" s="656"/>
      <c r="P525" s="13" t="s">
        <v>16</v>
      </c>
    </row>
    <row r="526" spans="1:20" ht="14.25">
      <c r="H526" t="s">
        <v>209</v>
      </c>
      <c r="L526" s="29" t="s">
        <v>0</v>
      </c>
      <c r="M526" s="576">
        <f>M523-M525</f>
        <v>23227.5</v>
      </c>
      <c r="N526" s="581"/>
      <c r="O526" s="581"/>
      <c r="P526" t="s">
        <v>16</v>
      </c>
    </row>
    <row r="527" spans="1:20" ht="14.25">
      <c r="B527" t="s">
        <v>210</v>
      </c>
      <c r="L527" s="29" t="s">
        <v>0</v>
      </c>
      <c r="M527" s="581">
        <f>M526*0.1</f>
        <v>2322.75</v>
      </c>
      <c r="N527" s="581"/>
      <c r="O527" s="581"/>
      <c r="P527" t="s">
        <v>7</v>
      </c>
    </row>
    <row r="528" spans="1:20" ht="14.25">
      <c r="F528" s="8" t="s">
        <v>9</v>
      </c>
      <c r="G528" s="582">
        <v>540</v>
      </c>
      <c r="H528" s="582"/>
      <c r="I528" s="597" t="s">
        <v>10</v>
      </c>
      <c r="J528" s="598"/>
      <c r="R528" s="29" t="s">
        <v>0</v>
      </c>
      <c r="S528" s="16" t="s">
        <v>11</v>
      </c>
      <c r="T528" s="11">
        <f>ROUND(M527*G528,0)</f>
        <v>1254285</v>
      </c>
    </row>
    <row r="529" spans="1:20">
      <c r="F529" s="8"/>
      <c r="G529" s="17"/>
      <c r="H529" s="17"/>
      <c r="I529" s="9"/>
      <c r="J529" s="10"/>
      <c r="R529" s="29"/>
      <c r="S529" s="16"/>
      <c r="T529" s="11"/>
    </row>
    <row r="532" spans="1:20" ht="27.75" customHeight="1">
      <c r="A532" s="55" t="s">
        <v>212</v>
      </c>
      <c r="B532" s="615" t="s">
        <v>211</v>
      </c>
      <c r="C532" s="615"/>
      <c r="D532" s="615"/>
      <c r="E532" s="615"/>
      <c r="F532" s="615"/>
      <c r="G532" s="615"/>
      <c r="H532" s="615"/>
      <c r="I532" s="615"/>
      <c r="J532" s="615"/>
      <c r="K532" s="615"/>
      <c r="L532" s="615"/>
      <c r="M532" s="615"/>
      <c r="N532" s="615"/>
      <c r="O532" s="615"/>
      <c r="P532" s="615"/>
      <c r="Q532" s="615"/>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576">
        <f>M527*50%</f>
        <v>1161.375</v>
      </c>
      <c r="N535" s="576"/>
      <c r="O535" s="576"/>
      <c r="P535" t="s">
        <v>7</v>
      </c>
    </row>
    <row r="537" spans="1:20">
      <c r="B537" s="3" t="s">
        <v>196</v>
      </c>
    </row>
    <row r="538" spans="1:20" ht="14.25">
      <c r="B538" t="s">
        <v>191</v>
      </c>
      <c r="J538" s="13"/>
      <c r="K538" s="13"/>
      <c r="L538" s="32" t="s">
        <v>0</v>
      </c>
      <c r="M538" s="656">
        <f>M527*50%</f>
        <v>1161.375</v>
      </c>
      <c r="N538" s="656"/>
      <c r="O538" s="656"/>
      <c r="P538" s="13" t="s">
        <v>7</v>
      </c>
    </row>
    <row r="539" spans="1:20" ht="14.25">
      <c r="J539" t="s">
        <v>194</v>
      </c>
      <c r="L539" s="29" t="s">
        <v>0</v>
      </c>
      <c r="M539" s="576">
        <f>SUM(M535:M538)</f>
        <v>2322.75</v>
      </c>
      <c r="N539" s="581"/>
      <c r="O539" s="581"/>
      <c r="P539" t="s">
        <v>7</v>
      </c>
    </row>
    <row r="540" spans="1:20" ht="14.25">
      <c r="F540" s="8" t="s">
        <v>9</v>
      </c>
      <c r="G540" s="582">
        <v>53</v>
      </c>
      <c r="H540" s="582"/>
      <c r="I540" s="597" t="s">
        <v>10</v>
      </c>
      <c r="J540" s="598"/>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598" t="s">
        <v>52</v>
      </c>
      <c r="D546" s="598"/>
      <c r="E546" s="598"/>
      <c r="F546" s="598"/>
      <c r="G546" s="598"/>
      <c r="H546" s="598"/>
      <c r="I546" s="598"/>
      <c r="J546" s="598"/>
      <c r="K546" s="598"/>
    </row>
    <row r="547" spans="2:20">
      <c r="C547" t="s">
        <v>53</v>
      </c>
      <c r="L547" s="17"/>
      <c r="M547" s="17"/>
      <c r="N547" s="17"/>
      <c r="O547" s="9"/>
      <c r="P547" s="10"/>
    </row>
    <row r="548" spans="2:20" ht="14.25">
      <c r="B548" t="s">
        <v>213</v>
      </c>
      <c r="L548" s="29" t="s">
        <v>0</v>
      </c>
      <c r="M548" s="576">
        <f>$M$535</f>
        <v>1161.375</v>
      </c>
      <c r="N548" s="576"/>
      <c r="O548" s="576"/>
      <c r="P548" t="s">
        <v>7</v>
      </c>
    </row>
    <row r="549" spans="2:20">
      <c r="B549" s="16" t="s">
        <v>197</v>
      </c>
      <c r="D549" s="579">
        <f>$M$548</f>
        <v>1161.375</v>
      </c>
      <c r="E549" s="612"/>
      <c r="F549" s="612"/>
      <c r="G549" t="s">
        <v>1</v>
      </c>
      <c r="H549" s="7">
        <v>2.4</v>
      </c>
      <c r="I549" t="s">
        <v>1</v>
      </c>
      <c r="J549" s="20">
        <v>10</v>
      </c>
      <c r="K549" s="29" t="s">
        <v>0</v>
      </c>
      <c r="L549" s="576">
        <f>D549*H549*J549</f>
        <v>27872.999999999996</v>
      </c>
      <c r="M549" s="576"/>
      <c r="N549" s="576"/>
      <c r="O549" t="s">
        <v>58</v>
      </c>
    </row>
    <row r="550" spans="2:20">
      <c r="F550" s="8" t="s">
        <v>9</v>
      </c>
      <c r="G550" s="582">
        <v>3</v>
      </c>
      <c r="H550" s="582"/>
      <c r="I550" s="597" t="s">
        <v>59</v>
      </c>
      <c r="J550" s="598"/>
      <c r="R550" s="29" t="s">
        <v>0</v>
      </c>
      <c r="S550" s="16" t="s">
        <v>11</v>
      </c>
      <c r="T550" s="11">
        <f>ROUND(L549*G550,0)</f>
        <v>83619</v>
      </c>
    </row>
    <row r="552" spans="2:20">
      <c r="B552" t="s">
        <v>198</v>
      </c>
    </row>
    <row r="553" spans="2:20">
      <c r="B553" s="16" t="s">
        <v>197</v>
      </c>
      <c r="D553" s="579">
        <f>$M$548</f>
        <v>1161.375</v>
      </c>
      <c r="E553" s="612"/>
      <c r="F553" s="612"/>
      <c r="G553" t="s">
        <v>1</v>
      </c>
      <c r="H553" s="7">
        <v>2.4</v>
      </c>
      <c r="I553" t="s">
        <v>1</v>
      </c>
      <c r="J553" s="20">
        <v>1</v>
      </c>
      <c r="K553" s="29" t="s">
        <v>0</v>
      </c>
      <c r="L553" s="576">
        <f>D553*H553*J553</f>
        <v>2787.2999999999997</v>
      </c>
      <c r="M553" s="576"/>
      <c r="N553" s="576"/>
      <c r="O553" t="s">
        <v>58</v>
      </c>
    </row>
    <row r="554" spans="2:20">
      <c r="F554" s="8" t="s">
        <v>9</v>
      </c>
      <c r="G554" s="582">
        <v>4.3</v>
      </c>
      <c r="H554" s="582"/>
      <c r="I554" s="597" t="s">
        <v>59</v>
      </c>
      <c r="J554" s="598"/>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581" t="s">
        <v>54</v>
      </c>
      <c r="D562" s="581"/>
      <c r="E562" s="581"/>
      <c r="F562" s="581"/>
      <c r="G562" s="581"/>
      <c r="H562" s="581"/>
      <c r="I562" s="581"/>
      <c r="J562" s="581"/>
      <c r="K562" s="581"/>
    </row>
    <row r="563" spans="1:20">
      <c r="C563" t="s">
        <v>55</v>
      </c>
    </row>
    <row r="564" spans="1:20" ht="14.25">
      <c r="B564" t="s">
        <v>191</v>
      </c>
      <c r="L564" s="29" t="s">
        <v>0</v>
      </c>
      <c r="M564" s="576">
        <f>$M$538</f>
        <v>1161.375</v>
      </c>
      <c r="N564" s="576"/>
      <c r="O564" s="576"/>
      <c r="P564" t="s">
        <v>7</v>
      </c>
    </row>
    <row r="565" spans="1:20">
      <c r="B565" s="16" t="s">
        <v>197</v>
      </c>
      <c r="D565" s="579">
        <f>$M$538</f>
        <v>1161.375</v>
      </c>
      <c r="E565" s="612"/>
      <c r="F565" s="612"/>
      <c r="G565" t="s">
        <v>1</v>
      </c>
      <c r="H565" s="7">
        <v>1.84</v>
      </c>
      <c r="I565" t="s">
        <v>1</v>
      </c>
      <c r="J565" s="20">
        <v>14</v>
      </c>
      <c r="K565" s="29" t="s">
        <v>0</v>
      </c>
      <c r="L565" s="576">
        <f>D565*H565*J565</f>
        <v>29917.020000000004</v>
      </c>
      <c r="M565" s="576"/>
      <c r="N565" s="576"/>
      <c r="O565" t="s">
        <v>58</v>
      </c>
    </row>
    <row r="566" spans="1:20">
      <c r="F566" s="8" t="s">
        <v>9</v>
      </c>
      <c r="G566" s="582">
        <v>3</v>
      </c>
      <c r="H566" s="582"/>
      <c r="I566" s="597" t="s">
        <v>59</v>
      </c>
      <c r="J566" s="598"/>
      <c r="R566" s="29" t="s">
        <v>0</v>
      </c>
      <c r="S566" s="16" t="s">
        <v>11</v>
      </c>
      <c r="T566" s="11">
        <f>ROUND(L565*G566,0)</f>
        <v>89751</v>
      </c>
    </row>
    <row r="568" spans="1:20">
      <c r="B568" t="s">
        <v>198</v>
      </c>
    </row>
    <row r="569" spans="1:20">
      <c r="B569" s="16" t="s">
        <v>197</v>
      </c>
      <c r="D569" s="579">
        <f>$M$538</f>
        <v>1161.375</v>
      </c>
      <c r="E569" s="612"/>
      <c r="F569" s="612"/>
      <c r="G569" t="s">
        <v>1</v>
      </c>
      <c r="H569" s="7">
        <v>1.84</v>
      </c>
      <c r="I569" t="s">
        <v>1</v>
      </c>
      <c r="J569" s="20">
        <v>1</v>
      </c>
      <c r="K569" s="29" t="s">
        <v>0</v>
      </c>
      <c r="L569" s="576">
        <f>D569*H569*J569</f>
        <v>2136.9300000000003</v>
      </c>
      <c r="M569" s="576"/>
      <c r="N569" s="576"/>
      <c r="O569" t="s">
        <v>58</v>
      </c>
    </row>
    <row r="570" spans="1:20">
      <c r="F570" s="8" t="s">
        <v>9</v>
      </c>
      <c r="G570" s="582">
        <v>4.3</v>
      </c>
      <c r="H570" s="582"/>
      <c r="I570" s="597" t="s">
        <v>59</v>
      </c>
      <c r="J570" s="598"/>
      <c r="R570" s="29" t="s">
        <v>0</v>
      </c>
      <c r="S570" s="16" t="s">
        <v>11</v>
      </c>
      <c r="T570" s="11">
        <f>ROUND(L569*G570,0)</f>
        <v>9189</v>
      </c>
    </row>
    <row r="573" spans="1:20">
      <c r="A573" s="1" t="s">
        <v>199</v>
      </c>
      <c r="B573" t="s">
        <v>200</v>
      </c>
    </row>
    <row r="574" spans="1:20">
      <c r="B574" t="s">
        <v>201</v>
      </c>
    </row>
    <row r="575" spans="1:20" ht="14.25">
      <c r="B575" t="s">
        <v>202</v>
      </c>
      <c r="J575" s="29" t="s">
        <v>0</v>
      </c>
      <c r="K575" s="576">
        <f>$M$535</f>
        <v>1161.375</v>
      </c>
      <c r="L575" s="581"/>
      <c r="M575" s="581"/>
      <c r="N575" t="s">
        <v>7</v>
      </c>
    </row>
    <row r="576" spans="1:20">
      <c r="F576" s="8" t="s">
        <v>9</v>
      </c>
      <c r="G576" s="582">
        <v>102</v>
      </c>
      <c r="H576" s="582"/>
      <c r="I576" s="102" t="s">
        <v>203</v>
      </c>
      <c r="J576" s="103"/>
      <c r="R576" s="29" t="s">
        <v>0</v>
      </c>
      <c r="S576" s="16" t="s">
        <v>11</v>
      </c>
      <c r="T576" s="11">
        <f>ROUND(K575*G576,0)</f>
        <v>118460</v>
      </c>
    </row>
    <row r="578" spans="2:20">
      <c r="B578" t="s">
        <v>204</v>
      </c>
    </row>
    <row r="579" spans="2:20" ht="14.25">
      <c r="B579" t="s">
        <v>202</v>
      </c>
      <c r="J579" s="29" t="s">
        <v>0</v>
      </c>
      <c r="K579" s="576">
        <f>$M$535</f>
        <v>1161.375</v>
      </c>
      <c r="L579" s="581"/>
      <c r="M579" s="581"/>
      <c r="N579" t="s">
        <v>7</v>
      </c>
    </row>
    <row r="580" spans="2:20">
      <c r="F580" s="8" t="s">
        <v>9</v>
      </c>
      <c r="G580" s="582">
        <v>40.799999999999997</v>
      </c>
      <c r="H580" s="582"/>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K575:M575"/>
    <mergeCell ref="G576:H576"/>
    <mergeCell ref="K579:M579"/>
    <mergeCell ref="G580:H580"/>
    <mergeCell ref="D569:F569"/>
    <mergeCell ref="L569:N569"/>
    <mergeCell ref="G570:H570"/>
    <mergeCell ref="I570:J570"/>
    <mergeCell ref="D565:F565"/>
    <mergeCell ref="L565:N565"/>
    <mergeCell ref="G566:H566"/>
    <mergeCell ref="I566:J566"/>
    <mergeCell ref="C562:K562"/>
    <mergeCell ref="M564:O564"/>
    <mergeCell ref="D553:F553"/>
    <mergeCell ref="L553:N553"/>
    <mergeCell ref="G554:H554"/>
    <mergeCell ref="I554:J554"/>
    <mergeCell ref="D549:F549"/>
    <mergeCell ref="L549:N549"/>
    <mergeCell ref="G550:H550"/>
    <mergeCell ref="I550:J550"/>
    <mergeCell ref="C546:K546"/>
    <mergeCell ref="M548:O548"/>
    <mergeCell ref="M539:O539"/>
    <mergeCell ref="G540:H540"/>
    <mergeCell ref="I540:J540"/>
    <mergeCell ref="M538:O538"/>
    <mergeCell ref="M535:O535"/>
    <mergeCell ref="M527:O527"/>
    <mergeCell ref="G528:H528"/>
    <mergeCell ref="I528:J528"/>
    <mergeCell ref="B532:Q532"/>
    <mergeCell ref="M523:O523"/>
    <mergeCell ref="M525:O525"/>
    <mergeCell ref="M526:O526"/>
    <mergeCell ref="F523:G523"/>
    <mergeCell ref="B522:Q522"/>
    <mergeCell ref="B516:S516"/>
    <mergeCell ref="A520:A521"/>
    <mergeCell ref="B520:Q520"/>
    <mergeCell ref="B521:Q521"/>
    <mergeCell ref="B518:S518"/>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L205:M205"/>
    <mergeCell ref="L208:N208"/>
    <mergeCell ref="K180:L180"/>
    <mergeCell ref="B186:Q186"/>
    <mergeCell ref="C188:K188"/>
    <mergeCell ref="L209:M209"/>
    <mergeCell ref="J197:K197"/>
    <mergeCell ref="L197:M197"/>
    <mergeCell ref="L196:N196"/>
    <mergeCell ref="L192:N192"/>
    <mergeCell ref="I180:J180"/>
    <mergeCell ref="I176:K176"/>
    <mergeCell ref="M176:N176"/>
    <mergeCell ref="L204:N204"/>
    <mergeCell ref="M202:O202"/>
    <mergeCell ref="I177:K177"/>
    <mergeCell ref="M177:N177"/>
    <mergeCell ref="L179:N179"/>
    <mergeCell ref="J193:K193"/>
    <mergeCell ref="L193:M193"/>
    <mergeCell ref="M190:O190"/>
    <mergeCell ref="G155:H155"/>
    <mergeCell ref="I159:K159"/>
    <mergeCell ref="M171:N171"/>
    <mergeCell ref="I172:K172"/>
    <mergeCell ref="B169:Q169"/>
    <mergeCell ref="G160:H160"/>
    <mergeCell ref="I160:J160"/>
    <mergeCell ref="B163:Q163"/>
    <mergeCell ref="B158:Q158"/>
    <mergeCell ref="I164:K164"/>
    <mergeCell ref="I171:K171"/>
    <mergeCell ref="M172:N172"/>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B43:Q43"/>
    <mergeCell ref="K16:L16"/>
    <mergeCell ref="B24:Q24"/>
    <mergeCell ref="I31:J31"/>
    <mergeCell ref="K31:L31"/>
    <mergeCell ref="L30:M30"/>
    <mergeCell ref="P37:Q37"/>
    <mergeCell ref="B29:Q29"/>
    <mergeCell ref="L25:M25"/>
    <mergeCell ref="P42:Q42"/>
    <mergeCell ref="L20:M20"/>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E96:F96"/>
    <mergeCell ref="N96:O96"/>
    <mergeCell ref="J97:K97"/>
    <mergeCell ref="L97:M97"/>
    <mergeCell ref="E100:F100"/>
    <mergeCell ref="N100:O100"/>
    <mergeCell ref="J101:K101"/>
    <mergeCell ref="L101:M101"/>
    <mergeCell ref="C104:K104"/>
    <mergeCell ref="N106:O106"/>
    <mergeCell ref="E108:F108"/>
    <mergeCell ref="N108:O108"/>
    <mergeCell ref="J109:K109"/>
    <mergeCell ref="L109:M109"/>
    <mergeCell ref="E112:F112"/>
    <mergeCell ref="N112:O112"/>
    <mergeCell ref="J113:K113"/>
    <mergeCell ref="L113:M113"/>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I246:P246"/>
    <mergeCell ref="B246:F246"/>
    <mergeCell ref="B241:S241"/>
    <mergeCell ref="A243:A244"/>
    <mergeCell ref="B244:Q244"/>
    <mergeCell ref="B247:F247"/>
    <mergeCell ref="G246:H246"/>
    <mergeCell ref="G247:H247"/>
    <mergeCell ref="J247:K247"/>
    <mergeCell ref="M247:N247"/>
    <mergeCell ref="O247:P247"/>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B400:Q400"/>
    <mergeCell ref="I401:K401"/>
    <mergeCell ref="G402:H402"/>
    <mergeCell ref="I402:J402"/>
    <mergeCell ref="I419:K419"/>
    <mergeCell ref="M420:O420"/>
    <mergeCell ref="M415:O415"/>
    <mergeCell ref="M416:O416"/>
    <mergeCell ref="M417:O417"/>
    <mergeCell ref="B412:Q412"/>
    <mergeCell ref="M421:O421"/>
    <mergeCell ref="M422:O422"/>
    <mergeCell ref="M426:O426"/>
    <mergeCell ref="M427:O427"/>
    <mergeCell ref="M428:O428"/>
    <mergeCell ref="M429:O429"/>
    <mergeCell ref="G430:H430"/>
    <mergeCell ref="I430:J430"/>
    <mergeCell ref="C436:K436"/>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s>
  <phoneticPr fontId="5"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721" t="s">
        <v>487</v>
      </c>
      <c r="B1" s="721"/>
      <c r="C1" s="721"/>
      <c r="D1" s="721"/>
      <c r="E1" s="721"/>
      <c r="F1" s="721"/>
      <c r="G1" s="721"/>
      <c r="H1" s="721"/>
      <c r="I1" s="721"/>
      <c r="J1" s="721"/>
      <c r="K1" s="721"/>
      <c r="L1" s="721"/>
      <c r="M1" s="721"/>
      <c r="N1" s="721"/>
      <c r="O1" s="721"/>
      <c r="P1" s="721"/>
      <c r="Q1" s="721"/>
      <c r="R1" s="721"/>
    </row>
    <row r="2" spans="1:30" ht="25.5" customHeight="1">
      <c r="A2" s="721"/>
      <c r="B2" s="721"/>
      <c r="C2" s="721"/>
      <c r="D2" s="721"/>
      <c r="E2" s="721"/>
      <c r="F2" s="721"/>
      <c r="G2" s="721"/>
      <c r="H2" s="721"/>
      <c r="I2" s="721"/>
      <c r="J2" s="721"/>
      <c r="K2" s="721"/>
      <c r="L2" s="721"/>
      <c r="M2" s="721"/>
      <c r="N2" s="721"/>
      <c r="O2" s="721"/>
      <c r="P2" s="721"/>
      <c r="Q2" s="721"/>
      <c r="R2" s="721"/>
    </row>
    <row r="3" spans="1:30" s="159" customFormat="1" ht="14.25" customHeight="1">
      <c r="A3" s="722" t="s">
        <v>425</v>
      </c>
      <c r="B3" s="722"/>
      <c r="C3" s="722"/>
      <c r="D3" s="722"/>
      <c r="E3" s="722"/>
      <c r="F3" s="722"/>
      <c r="G3" s="722"/>
      <c r="H3" s="722"/>
      <c r="I3" s="722"/>
      <c r="J3" s="722"/>
      <c r="K3" s="722"/>
      <c r="L3" s="722"/>
      <c r="M3" s="722"/>
      <c r="N3" s="722"/>
      <c r="O3" s="722"/>
      <c r="P3" s="722"/>
      <c r="Q3" s="722"/>
      <c r="R3" s="722"/>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723" t="s">
        <v>352</v>
      </c>
      <c r="C6" s="723"/>
      <c r="D6" s="723"/>
      <c r="E6" s="723"/>
      <c r="F6" s="723"/>
      <c r="G6" s="723"/>
      <c r="H6" s="723"/>
      <c r="I6" s="723"/>
      <c r="J6" s="723"/>
      <c r="K6" s="723"/>
      <c r="L6" s="723"/>
      <c r="M6" s="723"/>
      <c r="N6" s="723"/>
      <c r="O6" s="723"/>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724" t="s">
        <v>427</v>
      </c>
      <c r="C8" s="724"/>
      <c r="D8" s="724"/>
      <c r="E8" s="724"/>
      <c r="F8" s="724"/>
      <c r="G8" s="724"/>
      <c r="H8" s="724"/>
      <c r="I8" s="724"/>
      <c r="J8" s="724"/>
      <c r="K8" s="302"/>
      <c r="L8" s="302"/>
      <c r="M8" s="302"/>
      <c r="N8" s="302"/>
      <c r="O8" s="410"/>
      <c r="P8" s="182"/>
      <c r="Q8" s="182"/>
      <c r="R8" s="263"/>
    </row>
    <row r="9" spans="1:30" ht="13.5" customHeight="1">
      <c r="A9" s="384"/>
      <c r="B9" s="724" t="s">
        <v>357</v>
      </c>
      <c r="C9" s="724"/>
      <c r="D9" s="724"/>
      <c r="E9" s="724"/>
      <c r="F9" s="724"/>
      <c r="G9" s="724"/>
      <c r="H9" s="724"/>
      <c r="I9" s="724"/>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725"/>
      <c r="Y13" s="725"/>
      <c r="Z13" s="419"/>
      <c r="AA13" s="419"/>
      <c r="AB13" s="419"/>
      <c r="AC13" s="172"/>
      <c r="AD13" s="419"/>
    </row>
    <row r="14" spans="1:30" ht="15" customHeight="1">
      <c r="A14" s="279"/>
      <c r="B14" s="192"/>
      <c r="C14" s="192"/>
      <c r="D14" s="192"/>
      <c r="E14" s="185"/>
      <c r="F14" s="193" t="s">
        <v>350</v>
      </c>
      <c r="G14" s="407" t="s">
        <v>11</v>
      </c>
      <c r="H14" s="407">
        <v>1.58</v>
      </c>
      <c r="I14" s="701" t="s">
        <v>353</v>
      </c>
      <c r="J14" s="706"/>
      <c r="K14" s="185"/>
      <c r="L14" s="185"/>
      <c r="M14" s="184" t="s">
        <v>0</v>
      </c>
      <c r="N14" s="407">
        <f>H14*N13</f>
        <v>750.81600000000003</v>
      </c>
      <c r="O14" s="268" t="s">
        <v>100</v>
      </c>
      <c r="P14" s="185"/>
      <c r="Q14" s="185"/>
      <c r="R14" s="244"/>
      <c r="X14" s="173"/>
      <c r="Y14" s="419"/>
      <c r="Z14" s="419"/>
      <c r="AA14" s="419"/>
      <c r="AB14" s="419"/>
      <c r="AC14" s="172"/>
      <c r="AD14" s="419"/>
    </row>
    <row r="15" spans="1:30">
      <c r="A15" s="198"/>
      <c r="B15" s="719" t="s">
        <v>417</v>
      </c>
      <c r="C15" s="719"/>
      <c r="D15" s="719"/>
      <c r="E15" s="719"/>
      <c r="F15" s="719"/>
      <c r="G15" s="719"/>
      <c r="H15" s="719"/>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710" t="s">
        <v>385</v>
      </c>
      <c r="C16" s="710"/>
      <c r="D16" s="710"/>
      <c r="E16" s="710"/>
      <c r="F16" s="710"/>
      <c r="G16" s="710"/>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701" t="s">
        <v>353</v>
      </c>
      <c r="J18" s="706"/>
      <c r="K18" s="185"/>
      <c r="L18" s="185"/>
      <c r="M18" s="184" t="s">
        <v>0</v>
      </c>
      <c r="N18" s="407">
        <f>H18*N17</f>
        <v>429.62400000000008</v>
      </c>
      <c r="O18" s="268" t="s">
        <v>100</v>
      </c>
      <c r="P18" s="182"/>
      <c r="Q18" s="182"/>
      <c r="R18" s="294"/>
      <c r="U18" s="168"/>
      <c r="V18" s="168"/>
      <c r="W18" s="168"/>
      <c r="X18" s="720"/>
      <c r="Y18" s="720"/>
      <c r="Z18" s="720"/>
      <c r="AA18" s="720"/>
      <c r="AB18" s="720"/>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718" t="s">
        <v>386</v>
      </c>
      <c r="C20" s="718"/>
      <c r="D20" s="718"/>
      <c r="E20" s="718"/>
      <c r="F20" s="718"/>
      <c r="G20" s="718"/>
      <c r="H20" s="718"/>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710" t="s">
        <v>445</v>
      </c>
      <c r="C21" s="710"/>
      <c r="D21" s="710"/>
      <c r="E21" s="710"/>
      <c r="F21" s="710"/>
      <c r="G21" s="407"/>
      <c r="H21" s="407"/>
      <c r="I21" s="416"/>
      <c r="J21" s="418"/>
      <c r="K21" s="185"/>
      <c r="L21" s="185"/>
      <c r="M21" s="184"/>
      <c r="N21" s="407"/>
      <c r="O21" s="268"/>
      <c r="P21" s="182"/>
      <c r="Q21" s="182"/>
      <c r="R21" s="294"/>
      <c r="X21" s="173"/>
      <c r="Y21" s="177"/>
      <c r="Z21" s="177"/>
      <c r="AA21" s="177"/>
      <c r="AB21" s="177"/>
      <c r="AC21" s="172"/>
      <c r="AD21" s="419"/>
    </row>
    <row r="22" spans="1:30">
      <c r="A22" s="198"/>
      <c r="B22" s="710" t="s">
        <v>387</v>
      </c>
      <c r="C22" s="710"/>
      <c r="D22" s="710"/>
      <c r="E22" s="710"/>
      <c r="F22" s="710"/>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710" t="s">
        <v>388</v>
      </c>
      <c r="C23" s="710"/>
      <c r="D23" s="710"/>
      <c r="E23" s="710"/>
      <c r="F23" s="710"/>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710" t="s">
        <v>389</v>
      </c>
      <c r="C24" s="710"/>
      <c r="D24" s="710"/>
      <c r="E24" s="710"/>
      <c r="F24" s="710"/>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701" t="s">
        <v>353</v>
      </c>
      <c r="J26" s="706"/>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710" t="s">
        <v>385</v>
      </c>
      <c r="C28" s="710"/>
      <c r="D28" s="710"/>
      <c r="E28" s="710"/>
      <c r="F28" s="710"/>
      <c r="G28" s="710"/>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701" t="s">
        <v>353</v>
      </c>
      <c r="J30" s="706"/>
      <c r="K30" s="185"/>
      <c r="L30" s="185"/>
      <c r="M30" s="184" t="s">
        <v>0</v>
      </c>
      <c r="N30" s="407">
        <f>H30*N29</f>
        <v>250.38</v>
      </c>
      <c r="O30" s="268" t="s">
        <v>100</v>
      </c>
      <c r="P30" s="182"/>
      <c r="Q30" s="182"/>
      <c r="R30" s="294"/>
      <c r="X30" s="173"/>
      <c r="Y30" s="177"/>
      <c r="Z30" s="177"/>
      <c r="AA30" s="177"/>
      <c r="AB30" s="177"/>
      <c r="AC30" s="172"/>
      <c r="AD30" s="419"/>
    </row>
    <row r="31" spans="1:30">
      <c r="A31" s="198"/>
      <c r="B31" s="710" t="s">
        <v>384</v>
      </c>
      <c r="C31" s="710"/>
      <c r="D31" s="710"/>
      <c r="E31" s="710"/>
      <c r="F31" s="710"/>
      <c r="G31" s="407"/>
      <c r="H31" s="407"/>
      <c r="I31" s="416"/>
      <c r="J31" s="418"/>
      <c r="K31" s="185"/>
      <c r="L31" s="185"/>
      <c r="M31" s="184"/>
      <c r="N31" s="407"/>
      <c r="O31" s="268"/>
      <c r="P31" s="182"/>
      <c r="Q31" s="182"/>
      <c r="R31" s="294"/>
      <c r="X31" s="173"/>
      <c r="Y31" s="177"/>
      <c r="Z31" s="177"/>
      <c r="AA31" s="177"/>
      <c r="AB31" s="177"/>
      <c r="AC31" s="172"/>
      <c r="AD31" s="419"/>
    </row>
    <row r="32" spans="1:30">
      <c r="A32" s="198"/>
      <c r="B32" s="710" t="s">
        <v>387</v>
      </c>
      <c r="C32" s="710"/>
      <c r="D32" s="710"/>
      <c r="E32" s="710"/>
      <c r="F32" s="710"/>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710" t="s">
        <v>388</v>
      </c>
      <c r="C33" s="710"/>
      <c r="D33" s="710"/>
      <c r="E33" s="710"/>
      <c r="F33" s="710"/>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710" t="s">
        <v>389</v>
      </c>
      <c r="C34" s="710"/>
      <c r="D34" s="710"/>
      <c r="E34" s="710"/>
      <c r="F34" s="710"/>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701" t="s">
        <v>353</v>
      </c>
      <c r="J36" s="706"/>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717" t="s">
        <v>385</v>
      </c>
      <c r="C38" s="717"/>
      <c r="D38" s="717"/>
      <c r="E38" s="717"/>
      <c r="F38" s="717"/>
      <c r="G38" s="717"/>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701" t="s">
        <v>353</v>
      </c>
      <c r="J40" s="706"/>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718" t="s">
        <v>390</v>
      </c>
      <c r="C48" s="718"/>
      <c r="D48" s="718"/>
      <c r="E48" s="718"/>
      <c r="F48" s="718"/>
      <c r="G48" s="718"/>
      <c r="H48" s="718"/>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710" t="s">
        <v>387</v>
      </c>
      <c r="C50" s="710"/>
      <c r="D50" s="710"/>
      <c r="E50" s="710"/>
      <c r="F50" s="710"/>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710" t="s">
        <v>388</v>
      </c>
      <c r="C51" s="710"/>
      <c r="D51" s="710"/>
      <c r="E51" s="710"/>
      <c r="F51" s="710"/>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701" t="s">
        <v>353</v>
      </c>
      <c r="J53" s="706"/>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710" t="s">
        <v>385</v>
      </c>
      <c r="C54" s="710"/>
      <c r="D54" s="710"/>
      <c r="E54" s="710"/>
      <c r="F54" s="710"/>
      <c r="G54" s="710"/>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701" t="s">
        <v>353</v>
      </c>
      <c r="J56" s="706"/>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714" t="s">
        <v>391</v>
      </c>
      <c r="C59" s="714"/>
      <c r="D59" s="714"/>
      <c r="E59" s="714"/>
      <c r="F59" s="714"/>
      <c r="G59" s="714"/>
      <c r="H59" s="714"/>
      <c r="I59" s="714"/>
      <c r="J59" s="418"/>
      <c r="K59" s="185"/>
      <c r="L59" s="185"/>
      <c r="M59" s="184"/>
      <c r="N59" s="407"/>
      <c r="O59" s="157"/>
      <c r="R59" s="157"/>
      <c r="X59" s="173"/>
      <c r="Y59" s="177"/>
      <c r="Z59" s="177"/>
      <c r="AA59" s="177"/>
      <c r="AB59" s="177"/>
      <c r="AC59" s="172"/>
      <c r="AD59" s="419"/>
    </row>
    <row r="60" spans="1:30">
      <c r="A60" s="198"/>
      <c r="B60" s="716" t="s">
        <v>452</v>
      </c>
      <c r="C60" s="716"/>
      <c r="D60" s="716"/>
      <c r="E60" s="716"/>
      <c r="F60" s="716"/>
      <c r="G60" s="716"/>
      <c r="H60" s="716"/>
      <c r="I60" s="716"/>
      <c r="J60" s="716"/>
      <c r="K60" s="716"/>
      <c r="L60" s="716"/>
      <c r="M60" s="184"/>
      <c r="N60" s="407"/>
      <c r="O60" s="268"/>
      <c r="P60" s="182"/>
      <c r="Q60" s="182"/>
      <c r="R60" s="294"/>
      <c r="X60" s="173"/>
      <c r="Y60" s="177"/>
      <c r="Z60" s="177"/>
      <c r="AA60" s="177"/>
      <c r="AB60" s="177"/>
      <c r="AC60" s="172"/>
      <c r="AD60" s="419"/>
    </row>
    <row r="61" spans="1:30">
      <c r="A61" s="198"/>
      <c r="B61" s="705" t="s">
        <v>392</v>
      </c>
      <c r="C61" s="705"/>
      <c r="D61" s="705"/>
      <c r="E61" s="705"/>
      <c r="F61" s="705"/>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705" t="s">
        <v>393</v>
      </c>
      <c r="C62" s="705"/>
      <c r="D62" s="705"/>
      <c r="E62" s="705"/>
      <c r="F62" s="705"/>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708" t="s">
        <v>394</v>
      </c>
      <c r="C63" s="708"/>
      <c r="D63" s="708"/>
      <c r="E63" s="708"/>
      <c r="F63" s="708"/>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708" t="s">
        <v>393</v>
      </c>
      <c r="C64" s="708"/>
      <c r="D64" s="708"/>
      <c r="E64" s="708"/>
      <c r="F64" s="708"/>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708" t="s">
        <v>395</v>
      </c>
      <c r="C65" s="708"/>
      <c r="D65" s="708"/>
      <c r="E65" s="708"/>
      <c r="F65" s="708"/>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708" t="s">
        <v>393</v>
      </c>
      <c r="C66" s="708"/>
      <c r="D66" s="708"/>
      <c r="E66" s="708"/>
      <c r="F66" s="708"/>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708" t="s">
        <v>393</v>
      </c>
      <c r="C68" s="708"/>
      <c r="D68" s="708"/>
      <c r="E68" s="708"/>
      <c r="F68" s="708"/>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716" t="s">
        <v>451</v>
      </c>
      <c r="C72" s="716"/>
      <c r="D72" s="716"/>
      <c r="E72" s="716"/>
      <c r="F72" s="716"/>
      <c r="G72" s="716"/>
      <c r="H72" s="716"/>
      <c r="I72" s="716"/>
      <c r="J72" s="716"/>
      <c r="K72" s="716"/>
      <c r="L72" s="716"/>
      <c r="M72" s="184"/>
      <c r="N72" s="407"/>
      <c r="O72" s="268"/>
      <c r="P72" s="182"/>
      <c r="Q72" s="182"/>
      <c r="R72" s="294"/>
      <c r="X72" s="173"/>
      <c r="Y72" s="177"/>
      <c r="Z72" s="177"/>
      <c r="AA72" s="177"/>
      <c r="AB72" s="177"/>
      <c r="AC72" s="172"/>
      <c r="AD72" s="419"/>
    </row>
    <row r="73" spans="1:30" ht="17.25" customHeight="1">
      <c r="A73" s="198"/>
      <c r="B73" s="705" t="s">
        <v>392</v>
      </c>
      <c r="C73" s="705"/>
      <c r="D73" s="705"/>
      <c r="E73" s="705"/>
      <c r="F73" s="705"/>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705" t="s">
        <v>393</v>
      </c>
      <c r="C74" s="705"/>
      <c r="D74" s="705"/>
      <c r="E74" s="705"/>
      <c r="F74" s="705"/>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708" t="s">
        <v>394</v>
      </c>
      <c r="C75" s="708"/>
      <c r="D75" s="708"/>
      <c r="E75" s="708"/>
      <c r="F75" s="708"/>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708" t="s">
        <v>393</v>
      </c>
      <c r="C76" s="708"/>
      <c r="D76" s="708"/>
      <c r="E76" s="708"/>
      <c r="F76" s="708"/>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708" t="s">
        <v>395</v>
      </c>
      <c r="C77" s="708"/>
      <c r="D77" s="708"/>
      <c r="E77" s="708"/>
      <c r="F77" s="708"/>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708" t="s">
        <v>393</v>
      </c>
      <c r="C78" s="708"/>
      <c r="D78" s="708"/>
      <c r="E78" s="708"/>
      <c r="F78" s="708"/>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705" t="s">
        <v>396</v>
      </c>
      <c r="C79" s="705"/>
      <c r="D79" s="705"/>
      <c r="E79" s="705"/>
      <c r="F79" s="705"/>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708" t="s">
        <v>393</v>
      </c>
      <c r="C80" s="708"/>
      <c r="D80" s="708"/>
      <c r="E80" s="708"/>
      <c r="F80" s="708"/>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714" t="s">
        <v>469</v>
      </c>
      <c r="C90" s="714"/>
      <c r="D90" s="714"/>
      <c r="E90" s="714"/>
      <c r="F90" s="714"/>
      <c r="G90" s="714"/>
      <c r="H90" s="714"/>
      <c r="I90" s="416"/>
      <c r="J90" s="418"/>
      <c r="K90" s="185"/>
      <c r="L90" s="185"/>
      <c r="M90" s="184"/>
      <c r="N90" s="407"/>
      <c r="O90" s="356"/>
      <c r="P90" s="182"/>
      <c r="Q90" s="182"/>
      <c r="R90" s="294"/>
      <c r="X90" s="173"/>
      <c r="Y90" s="177"/>
      <c r="Z90" s="177"/>
      <c r="AA90" s="177"/>
      <c r="AB90" s="177"/>
      <c r="AC90" s="172"/>
      <c r="AD90" s="419"/>
    </row>
    <row r="91" spans="1:30" ht="29.25" customHeight="1">
      <c r="A91" s="198"/>
      <c r="B91" s="710" t="s">
        <v>453</v>
      </c>
      <c r="C91" s="710"/>
      <c r="D91" s="710"/>
      <c r="E91" s="710"/>
      <c r="F91" s="710"/>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710" t="s">
        <v>454</v>
      </c>
      <c r="C92" s="710"/>
      <c r="D92" s="710"/>
      <c r="E92" s="710"/>
      <c r="F92" s="710"/>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715" t="s">
        <v>455</v>
      </c>
      <c r="C93" s="715"/>
      <c r="D93" s="715"/>
      <c r="E93" s="715"/>
      <c r="F93" s="715"/>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710" t="s">
        <v>456</v>
      </c>
      <c r="C94" s="710"/>
      <c r="D94" s="710"/>
      <c r="E94" s="710"/>
      <c r="F94" s="710"/>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709" t="s">
        <v>457</v>
      </c>
      <c r="C95" s="709"/>
      <c r="D95" s="709"/>
      <c r="E95" s="709"/>
      <c r="F95" s="709"/>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709" t="s">
        <v>458</v>
      </c>
      <c r="C96" s="709"/>
      <c r="D96" s="709"/>
      <c r="E96" s="709"/>
      <c r="F96" s="709"/>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710" t="s">
        <v>459</v>
      </c>
      <c r="C97" s="710"/>
      <c r="D97" s="710"/>
      <c r="E97" s="710"/>
      <c r="F97" s="710"/>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713" t="s">
        <v>461</v>
      </c>
      <c r="C98" s="713"/>
      <c r="D98" s="713"/>
      <c r="E98" s="713"/>
      <c r="F98" s="713"/>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710" t="s">
        <v>392</v>
      </c>
      <c r="C99" s="710"/>
      <c r="D99" s="710"/>
      <c r="E99" s="710"/>
      <c r="F99" s="710"/>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709" t="s">
        <v>460</v>
      </c>
      <c r="C100" s="709"/>
      <c r="D100" s="709"/>
      <c r="E100" s="709"/>
      <c r="F100" s="709"/>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710" t="s">
        <v>395</v>
      </c>
      <c r="C101" s="710"/>
      <c r="D101" s="710"/>
      <c r="E101" s="710"/>
      <c r="F101" s="710"/>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710" t="s">
        <v>393</v>
      </c>
      <c r="C102" s="710"/>
      <c r="D102" s="710"/>
      <c r="E102" s="710"/>
      <c r="F102" s="710"/>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711" t="s">
        <v>463</v>
      </c>
      <c r="C105" s="711"/>
      <c r="D105" s="711"/>
      <c r="E105" s="711"/>
      <c r="F105" s="711"/>
      <c r="G105" s="711"/>
      <c r="H105" s="711"/>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712" t="s">
        <v>429</v>
      </c>
      <c r="C106" s="712"/>
      <c r="D106" s="712"/>
      <c r="E106" s="712"/>
      <c r="F106" s="712"/>
      <c r="G106" s="712"/>
      <c r="H106" s="712"/>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705" t="s">
        <v>392</v>
      </c>
      <c r="C107" s="705"/>
      <c r="D107" s="705"/>
      <c r="E107" s="705"/>
      <c r="F107" s="705"/>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705" t="s">
        <v>393</v>
      </c>
      <c r="C108" s="705"/>
      <c r="D108" s="705"/>
      <c r="E108" s="705"/>
      <c r="F108" s="705"/>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708" t="s">
        <v>395</v>
      </c>
      <c r="C109" s="708"/>
      <c r="D109" s="708"/>
      <c r="E109" s="708"/>
      <c r="F109" s="708"/>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705" t="s">
        <v>393</v>
      </c>
      <c r="C110" s="705"/>
      <c r="D110" s="705"/>
      <c r="E110" s="705"/>
      <c r="F110" s="705"/>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705" t="s">
        <v>392</v>
      </c>
      <c r="C111" s="705"/>
      <c r="D111" s="705"/>
      <c r="E111" s="705"/>
      <c r="F111" s="705"/>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705" t="s">
        <v>393</v>
      </c>
      <c r="C112" s="705"/>
      <c r="D112" s="705"/>
      <c r="E112" s="705"/>
      <c r="F112" s="705"/>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708" t="s">
        <v>395</v>
      </c>
      <c r="C113" s="708"/>
      <c r="D113" s="708"/>
      <c r="E113" s="708"/>
      <c r="F113" s="708"/>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705" t="s">
        <v>393</v>
      </c>
      <c r="C114" s="705"/>
      <c r="D114" s="705"/>
      <c r="E114" s="705"/>
      <c r="F114" s="705"/>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701" t="s">
        <v>353</v>
      </c>
      <c r="J116" s="706"/>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687" t="s">
        <v>359</v>
      </c>
      <c r="J118" s="687"/>
      <c r="K118" s="687"/>
      <c r="L118" s="687"/>
      <c r="M118" s="190" t="s">
        <v>0</v>
      </c>
      <c r="N118" s="373">
        <f>N116+N56+N53+N30+N26+N18+N14+N36+N40</f>
        <v>12515.286200000002</v>
      </c>
      <c r="O118" s="374" t="s">
        <v>100</v>
      </c>
      <c r="P118" s="190"/>
      <c r="Q118" s="205"/>
      <c r="R118" s="269"/>
    </row>
    <row r="119" spans="1:30" ht="27.75" customHeight="1">
      <c r="A119" s="279"/>
      <c r="B119" s="707" t="s">
        <v>430</v>
      </c>
      <c r="C119" s="707"/>
      <c r="D119" s="707"/>
      <c r="E119" s="707"/>
      <c r="F119" s="707"/>
      <c r="G119" s="707"/>
      <c r="H119" s="707"/>
      <c r="I119" s="707"/>
      <c r="J119" s="707"/>
      <c r="K119" s="707"/>
      <c r="L119" s="707"/>
      <c r="M119" s="414" t="s">
        <v>0</v>
      </c>
      <c r="N119" s="288">
        <f>N118*0.05</f>
        <v>625.76431000000014</v>
      </c>
      <c r="O119" s="274"/>
      <c r="P119" s="190"/>
      <c r="Q119" s="205"/>
      <c r="R119" s="269"/>
    </row>
    <row r="120" spans="1:30">
      <c r="A120" s="279"/>
      <c r="B120" s="229"/>
      <c r="C120" s="229"/>
      <c r="D120" s="229"/>
      <c r="E120" s="229"/>
      <c r="F120" s="229"/>
      <c r="G120" s="229"/>
      <c r="H120" s="687" t="s">
        <v>398</v>
      </c>
      <c r="I120" s="687"/>
      <c r="J120" s="687"/>
      <c r="K120" s="687"/>
      <c r="L120" s="687"/>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680">
        <v>9938</v>
      </c>
      <c r="M122" s="680"/>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690" t="s">
        <v>354</v>
      </c>
      <c r="C128" s="690"/>
      <c r="D128" s="690"/>
      <c r="E128" s="690"/>
      <c r="F128" s="690"/>
      <c r="G128" s="690"/>
      <c r="H128" s="690"/>
      <c r="I128" s="690"/>
      <c r="J128" s="690"/>
      <c r="K128" s="690"/>
      <c r="L128" s="690"/>
      <c r="M128" s="690"/>
      <c r="N128" s="690"/>
      <c r="O128" s="690"/>
      <c r="P128" s="184"/>
      <c r="Q128" s="197"/>
      <c r="R128" s="268"/>
    </row>
    <row r="129" spans="1:30" ht="19.5" customHeight="1">
      <c r="A129" s="279"/>
      <c r="B129" s="700" t="s">
        <v>378</v>
      </c>
      <c r="C129" s="700"/>
      <c r="D129" s="700"/>
      <c r="E129" s="700"/>
      <c r="F129" s="700"/>
      <c r="G129" s="700"/>
      <c r="H129" s="700"/>
      <c r="I129" s="700"/>
      <c r="J129" s="700"/>
      <c r="K129" s="190"/>
      <c r="L129" s="187"/>
      <c r="M129" s="190"/>
      <c r="N129" s="213"/>
      <c r="O129" s="294"/>
      <c r="P129" s="200"/>
      <c r="Q129" s="200"/>
      <c r="R129" s="265"/>
    </row>
    <row r="130" spans="1:30" ht="21" customHeight="1">
      <c r="A130" s="198"/>
      <c r="B130" s="692" t="s">
        <v>411</v>
      </c>
      <c r="C130" s="692"/>
      <c r="D130" s="692"/>
      <c r="E130" s="692"/>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692" t="s">
        <v>412</v>
      </c>
      <c r="C131" s="692"/>
      <c r="D131" s="692"/>
      <c r="E131" s="692"/>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702" t="s">
        <v>375</v>
      </c>
      <c r="C133" s="702"/>
      <c r="D133" s="702"/>
      <c r="E133" s="702"/>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704" t="s">
        <v>462</v>
      </c>
      <c r="C134" s="704"/>
      <c r="D134" s="704"/>
      <c r="E134" s="704"/>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702" t="s">
        <v>349</v>
      </c>
      <c r="C135" s="702"/>
      <c r="D135" s="702"/>
      <c r="E135" s="702"/>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702" t="s">
        <v>479</v>
      </c>
      <c r="C137" s="702"/>
      <c r="D137" s="702"/>
      <c r="E137" s="702"/>
      <c r="F137" s="702"/>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703" t="s">
        <v>8</v>
      </c>
      <c r="L139" s="703"/>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680">
        <v>389</v>
      </c>
      <c r="M140" s="680"/>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690" t="s">
        <v>465</v>
      </c>
      <c r="C142" s="690"/>
      <c r="D142" s="690"/>
      <c r="E142" s="690"/>
      <c r="F142" s="690"/>
      <c r="G142" s="690"/>
      <c r="H142" s="690"/>
      <c r="I142" s="690"/>
      <c r="J142" s="690"/>
      <c r="K142" s="690"/>
      <c r="L142" s="690"/>
      <c r="M142" s="690"/>
      <c r="N142" s="690"/>
      <c r="O142" s="690"/>
      <c r="P142" s="200"/>
      <c r="Q142" s="200"/>
      <c r="R142" s="265"/>
    </row>
    <row r="143" spans="1:30" ht="17.25" customHeight="1">
      <c r="A143" s="412"/>
      <c r="B143" s="686" t="s">
        <v>466</v>
      </c>
      <c r="C143" s="686"/>
      <c r="D143" s="686"/>
      <c r="E143" s="686"/>
      <c r="F143" s="686"/>
      <c r="G143" s="686"/>
      <c r="H143" s="686"/>
      <c r="I143" s="403"/>
      <c r="J143" s="403"/>
      <c r="K143" s="403"/>
      <c r="L143" s="403"/>
      <c r="M143" s="403"/>
      <c r="N143" s="403"/>
      <c r="O143" s="403"/>
      <c r="P143" s="200"/>
      <c r="Q143" s="200"/>
      <c r="R143" s="265"/>
    </row>
    <row r="144" spans="1:30" ht="19.5" customHeight="1">
      <c r="A144" s="279"/>
      <c r="B144" s="700" t="s">
        <v>446</v>
      </c>
      <c r="C144" s="700"/>
      <c r="D144" s="700"/>
      <c r="E144" s="700"/>
      <c r="F144" s="700"/>
      <c r="G144" s="700"/>
      <c r="H144" s="700"/>
      <c r="I144" s="700"/>
      <c r="J144" s="700"/>
      <c r="K144" s="190"/>
      <c r="L144" s="187"/>
      <c r="M144" s="190"/>
      <c r="N144" s="213"/>
      <c r="O144" s="294"/>
      <c r="P144" s="200"/>
      <c r="Q144" s="200"/>
      <c r="R144" s="265"/>
    </row>
    <row r="145" spans="1:30" ht="18" customHeight="1">
      <c r="A145" s="385"/>
      <c r="B145" s="701" t="s">
        <v>411</v>
      </c>
      <c r="C145" s="701"/>
      <c r="D145" s="701"/>
      <c r="E145" s="701"/>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700" t="s">
        <v>428</v>
      </c>
      <c r="C146" s="700"/>
      <c r="D146" s="700"/>
      <c r="E146" s="700"/>
      <c r="F146" s="700"/>
      <c r="G146" s="700"/>
      <c r="H146" s="700"/>
      <c r="I146" s="700"/>
      <c r="J146" s="700"/>
      <c r="K146" s="414"/>
      <c r="L146" s="186"/>
      <c r="M146" s="190"/>
      <c r="N146" s="199"/>
      <c r="O146" s="294"/>
      <c r="P146" s="185"/>
      <c r="Q146" s="185"/>
      <c r="R146" s="244"/>
      <c r="AB146" s="396"/>
    </row>
    <row r="147" spans="1:30" ht="15" customHeight="1">
      <c r="A147" s="385"/>
      <c r="B147" s="700"/>
      <c r="C147" s="700"/>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700" t="s">
        <v>462</v>
      </c>
      <c r="C149" s="700"/>
      <c r="D149" s="700"/>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702" t="s">
        <v>375</v>
      </c>
      <c r="C150" s="702"/>
      <c r="D150" s="702"/>
      <c r="E150" s="702"/>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687" t="s">
        <v>349</v>
      </c>
      <c r="C151" s="687"/>
      <c r="D151" s="687"/>
      <c r="E151" s="687"/>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696" t="s">
        <v>464</v>
      </c>
      <c r="C153" s="696"/>
      <c r="D153" s="696"/>
      <c r="E153" s="696"/>
      <c r="F153" s="696"/>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687" t="s">
        <v>8</v>
      </c>
      <c r="L155" s="687"/>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698">
        <f>9235+93+93</f>
        <v>9421</v>
      </c>
      <c r="M156" s="698"/>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698"/>
      <c r="M163" s="698"/>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690" t="s">
        <v>467</v>
      </c>
      <c r="C167" s="690"/>
      <c r="D167" s="690"/>
      <c r="E167" s="690"/>
      <c r="F167" s="690"/>
      <c r="G167" s="690"/>
      <c r="H167" s="690"/>
      <c r="I167" s="690"/>
      <c r="J167" s="690"/>
      <c r="K167" s="690"/>
      <c r="L167" s="690"/>
      <c r="M167" s="690"/>
      <c r="N167" s="690"/>
      <c r="O167" s="690"/>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696" t="s">
        <v>468</v>
      </c>
      <c r="C169" s="696"/>
      <c r="D169" s="696"/>
      <c r="E169" s="696"/>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687" t="s">
        <v>8</v>
      </c>
      <c r="L170" s="687"/>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698">
        <f>9948</f>
        <v>9948</v>
      </c>
      <c r="M171" s="698"/>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690" t="s">
        <v>355</v>
      </c>
      <c r="C173" s="690"/>
      <c r="D173" s="690"/>
      <c r="E173" s="690"/>
      <c r="F173" s="690"/>
      <c r="G173" s="690"/>
      <c r="H173" s="690"/>
      <c r="I173" s="690"/>
      <c r="J173" s="690"/>
      <c r="K173" s="690"/>
      <c r="L173" s="690"/>
      <c r="M173" s="690"/>
      <c r="N173" s="690"/>
      <c r="O173" s="690"/>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687" t="s">
        <v>8</v>
      </c>
      <c r="L179" s="687"/>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680">
        <v>817</v>
      </c>
      <c r="M181" s="680"/>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690" t="s">
        <v>363</v>
      </c>
      <c r="C183" s="690"/>
      <c r="D183" s="690"/>
      <c r="E183" s="690"/>
      <c r="F183" s="690"/>
      <c r="G183" s="690"/>
      <c r="H183" s="690"/>
      <c r="I183" s="690"/>
      <c r="J183" s="690"/>
      <c r="K183" s="690"/>
      <c r="L183" s="690"/>
      <c r="M183" s="690"/>
      <c r="N183" s="690"/>
      <c r="O183" s="690"/>
      <c r="P183" s="190"/>
      <c r="Q183" s="205"/>
      <c r="R183" s="269"/>
    </row>
    <row r="184" spans="1:22" ht="33.75" customHeight="1">
      <c r="A184" s="385"/>
      <c r="B184" s="699" t="s">
        <v>477</v>
      </c>
      <c r="C184" s="699"/>
      <c r="D184" s="699"/>
      <c r="E184" s="699"/>
      <c r="F184" s="699" t="s">
        <v>424</v>
      </c>
      <c r="G184" s="699"/>
      <c r="H184" s="699"/>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680">
        <v>213</v>
      </c>
      <c r="M188" s="680"/>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690" t="s">
        <v>364</v>
      </c>
      <c r="C190" s="690"/>
      <c r="D190" s="690"/>
      <c r="E190" s="690"/>
      <c r="F190" s="690"/>
      <c r="G190" s="690"/>
      <c r="H190" s="690"/>
      <c r="I190" s="690"/>
      <c r="J190" s="690"/>
      <c r="K190" s="690"/>
      <c r="L190" s="690"/>
      <c r="M190" s="690"/>
      <c r="N190" s="690"/>
      <c r="O190" s="690"/>
      <c r="P190" s="192"/>
      <c r="Q190" s="205"/>
      <c r="R190" s="269"/>
    </row>
    <row r="191" spans="1:22" ht="18" customHeight="1">
      <c r="A191" s="279"/>
      <c r="B191" s="696" t="s">
        <v>365</v>
      </c>
      <c r="C191" s="696"/>
      <c r="D191" s="696"/>
      <c r="E191" s="696"/>
      <c r="F191" s="696"/>
      <c r="G191" s="205"/>
      <c r="H191" s="192"/>
      <c r="I191" s="238"/>
      <c r="J191" s="239"/>
      <c r="K191" s="237"/>
      <c r="L191" s="191"/>
      <c r="M191" s="191"/>
      <c r="N191" s="240"/>
      <c r="O191" s="294"/>
      <c r="P191" s="190"/>
      <c r="Q191" s="205"/>
      <c r="R191" s="269"/>
      <c r="U191" s="180"/>
      <c r="V191" s="178"/>
    </row>
    <row r="192" spans="1:22" ht="15" customHeight="1">
      <c r="A192" s="388"/>
      <c r="B192" s="695" t="s">
        <v>366</v>
      </c>
      <c r="C192" s="695"/>
      <c r="D192" s="695"/>
      <c r="E192" s="695"/>
      <c r="F192" s="695"/>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687" t="s">
        <v>8</v>
      </c>
      <c r="L194" s="687"/>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697">
        <v>70458</v>
      </c>
      <c r="M195" s="697"/>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690" t="s">
        <v>367</v>
      </c>
      <c r="C201" s="690"/>
      <c r="D201" s="690"/>
      <c r="E201" s="690"/>
      <c r="F201" s="690"/>
      <c r="G201" s="690"/>
      <c r="H201" s="690"/>
      <c r="I201" s="690"/>
      <c r="J201" s="690"/>
      <c r="K201" s="690"/>
      <c r="L201" s="690"/>
      <c r="M201" s="690"/>
      <c r="N201" s="690"/>
      <c r="O201" s="690"/>
      <c r="P201" s="192"/>
      <c r="Q201" s="205"/>
      <c r="R201" s="269"/>
    </row>
    <row r="202" spans="1:22" ht="15.75" customHeight="1">
      <c r="A202" s="387"/>
      <c r="B202" s="684" t="s">
        <v>371</v>
      </c>
      <c r="C202" s="684"/>
      <c r="D202" s="684"/>
      <c r="E202" s="684"/>
      <c r="F202" s="684"/>
      <c r="G202" s="684"/>
      <c r="H202" s="684"/>
      <c r="I202" s="684"/>
      <c r="J202" s="684"/>
      <c r="K202" s="684"/>
      <c r="L202" s="684"/>
      <c r="M202" s="403"/>
      <c r="N202" s="403"/>
      <c r="O202" s="410"/>
      <c r="P202" s="192"/>
      <c r="Q202" s="205"/>
      <c r="R202" s="269"/>
      <c r="U202" s="181"/>
    </row>
    <row r="203" spans="1:22" ht="15.75" customHeight="1">
      <c r="A203" s="279"/>
      <c r="B203" s="695" t="s">
        <v>382</v>
      </c>
      <c r="C203" s="695"/>
      <c r="D203" s="695"/>
      <c r="E203" s="695"/>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680">
        <v>5131</v>
      </c>
      <c r="M205" s="680"/>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690" t="s">
        <v>413</v>
      </c>
      <c r="C208" s="690"/>
      <c r="D208" s="690"/>
      <c r="E208" s="690"/>
      <c r="F208" s="690"/>
      <c r="G208" s="690"/>
      <c r="H208" s="690"/>
      <c r="I208" s="690"/>
      <c r="J208" s="690"/>
      <c r="K208" s="690"/>
      <c r="L208" s="690"/>
      <c r="M208" s="690"/>
      <c r="N208" s="690"/>
      <c r="O208" s="690"/>
      <c r="P208" s="192"/>
      <c r="Q208" s="205"/>
      <c r="R208" s="269"/>
    </row>
    <row r="209" spans="1:29" ht="15.75" customHeight="1">
      <c r="A209" s="387"/>
      <c r="B209" s="684" t="s">
        <v>372</v>
      </c>
      <c r="C209" s="684"/>
      <c r="D209" s="684"/>
      <c r="E209" s="684"/>
      <c r="F209" s="302"/>
      <c r="G209" s="302"/>
      <c r="H209" s="302"/>
      <c r="I209" s="403"/>
      <c r="J209" s="403"/>
      <c r="K209" s="403"/>
      <c r="L209" s="403"/>
      <c r="M209" s="403"/>
      <c r="N209" s="403"/>
      <c r="O209" s="410"/>
      <c r="P209" s="192"/>
      <c r="Q209" s="205"/>
      <c r="R209" s="269"/>
    </row>
    <row r="210" spans="1:29" ht="15.75" customHeight="1">
      <c r="A210" s="385"/>
      <c r="B210" s="692" t="s">
        <v>478</v>
      </c>
      <c r="C210" s="692"/>
      <c r="D210" s="692"/>
      <c r="E210" s="692"/>
      <c r="F210" s="692"/>
      <c r="G210" s="692"/>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692"/>
      <c r="C211" s="692"/>
      <c r="D211" s="692"/>
      <c r="E211" s="692"/>
      <c r="F211" s="692"/>
      <c r="G211" s="692"/>
      <c r="H211" s="185"/>
      <c r="I211" s="185"/>
      <c r="J211" s="185"/>
      <c r="K211" s="687" t="s">
        <v>8</v>
      </c>
      <c r="L211" s="687"/>
      <c r="M211" s="190" t="s">
        <v>0</v>
      </c>
      <c r="N211" s="204">
        <f>SUM(N210:N210)</f>
        <v>55.8</v>
      </c>
      <c r="O211" s="244" t="s">
        <v>420</v>
      </c>
      <c r="P211" s="185"/>
      <c r="Q211" s="185"/>
      <c r="R211" s="244"/>
      <c r="AC211" s="397"/>
    </row>
    <row r="212" spans="1:29" ht="15.75" customHeight="1">
      <c r="A212" s="198"/>
      <c r="B212" s="692"/>
      <c r="C212" s="692"/>
      <c r="D212" s="692"/>
      <c r="E212" s="692"/>
      <c r="F212" s="692"/>
      <c r="G212" s="692"/>
      <c r="H212" s="182"/>
      <c r="I212" s="182"/>
      <c r="J212" s="193" t="s">
        <v>350</v>
      </c>
      <c r="K212" s="407" t="s">
        <v>11</v>
      </c>
      <c r="L212" s="680">
        <v>3457</v>
      </c>
      <c r="M212" s="680"/>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688" t="s">
        <v>476</v>
      </c>
      <c r="B215" s="693" t="s">
        <v>414</v>
      </c>
      <c r="C215" s="693"/>
      <c r="D215" s="693"/>
      <c r="E215" s="693"/>
      <c r="F215" s="693"/>
      <c r="G215" s="693"/>
      <c r="H215" s="693"/>
      <c r="I215" s="693"/>
      <c r="J215" s="693"/>
      <c r="K215" s="693"/>
      <c r="L215" s="693"/>
      <c r="M215" s="693"/>
      <c r="N215" s="693"/>
      <c r="O215" s="279"/>
      <c r="P215" s="207"/>
      <c r="Q215" s="208"/>
      <c r="R215" s="274"/>
    </row>
    <row r="216" spans="1:29" ht="36.75" customHeight="1">
      <c r="A216" s="688"/>
      <c r="B216" s="693"/>
      <c r="C216" s="693"/>
      <c r="D216" s="693"/>
      <c r="E216" s="693"/>
      <c r="F216" s="693"/>
      <c r="G216" s="693"/>
      <c r="H216" s="693"/>
      <c r="I216" s="693"/>
      <c r="J216" s="693"/>
      <c r="K216" s="693"/>
      <c r="L216" s="693"/>
      <c r="M216" s="693"/>
      <c r="N216" s="693"/>
      <c r="O216" s="279"/>
      <c r="P216" s="207"/>
      <c r="Q216" s="208"/>
      <c r="R216" s="274"/>
    </row>
    <row r="217" spans="1:29" ht="15" customHeight="1">
      <c r="A217" s="198"/>
      <c r="B217" s="694" t="s">
        <v>372</v>
      </c>
      <c r="C217" s="694"/>
      <c r="D217" s="694"/>
      <c r="E217" s="694"/>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687" t="s">
        <v>8</v>
      </c>
      <c r="L219" s="687"/>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680">
        <v>1093</v>
      </c>
      <c r="M220" s="680"/>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690" t="s">
        <v>485</v>
      </c>
      <c r="C222" s="690"/>
      <c r="D222" s="690"/>
      <c r="E222" s="690"/>
      <c r="F222" s="690"/>
      <c r="G222" s="690"/>
      <c r="H222" s="690"/>
      <c r="I222" s="690"/>
      <c r="J222" s="690"/>
      <c r="K222" s="690"/>
      <c r="L222" s="690"/>
      <c r="M222" s="690"/>
      <c r="N222" s="690"/>
      <c r="O222" s="690"/>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687" t="s">
        <v>8</v>
      </c>
      <c r="L225" s="687"/>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680">
        <v>129</v>
      </c>
      <c r="M226" s="680"/>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688" t="s">
        <v>481</v>
      </c>
      <c r="B228" s="691" t="s">
        <v>480</v>
      </c>
      <c r="C228" s="691"/>
      <c r="D228" s="691"/>
      <c r="E228" s="691"/>
      <c r="F228" s="691"/>
      <c r="G228" s="691"/>
      <c r="H228" s="691"/>
      <c r="I228" s="691"/>
      <c r="J228" s="691"/>
      <c r="K228" s="691"/>
      <c r="L228" s="691"/>
      <c r="M228" s="691"/>
      <c r="N228" s="691"/>
      <c r="O228" s="428"/>
      <c r="P228" s="190"/>
      <c r="Q228" s="205"/>
      <c r="R228" s="269"/>
    </row>
    <row r="229" spans="1:28" ht="12.75" customHeight="1">
      <c r="A229" s="688"/>
      <c r="B229" s="691"/>
      <c r="C229" s="691"/>
      <c r="D229" s="691"/>
      <c r="E229" s="691"/>
      <c r="F229" s="691"/>
      <c r="G229" s="691"/>
      <c r="H229" s="691"/>
      <c r="I229" s="691"/>
      <c r="J229" s="691"/>
      <c r="K229" s="691"/>
      <c r="L229" s="691"/>
      <c r="M229" s="691"/>
      <c r="N229" s="691"/>
      <c r="O229" s="428"/>
      <c r="P229" s="190"/>
      <c r="Q229" s="205"/>
      <c r="R229" s="269"/>
    </row>
    <row r="230" spans="1:28" ht="12.75" customHeight="1">
      <c r="A230" s="688"/>
      <c r="B230" s="691"/>
      <c r="C230" s="691"/>
      <c r="D230" s="691"/>
      <c r="E230" s="691"/>
      <c r="F230" s="691"/>
      <c r="G230" s="691"/>
      <c r="H230" s="691"/>
      <c r="I230" s="691"/>
      <c r="J230" s="691"/>
      <c r="K230" s="691"/>
      <c r="L230" s="691"/>
      <c r="M230" s="691"/>
      <c r="N230" s="691"/>
      <c r="O230" s="428"/>
      <c r="P230" s="190"/>
      <c r="Q230" s="205"/>
      <c r="R230" s="269"/>
    </row>
    <row r="231" spans="1:28" ht="15" customHeight="1">
      <c r="A231" s="198"/>
      <c r="B231" s="686" t="s">
        <v>482</v>
      </c>
      <c r="C231" s="686"/>
      <c r="D231" s="686"/>
      <c r="E231" s="686"/>
      <c r="F231" s="686"/>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687" t="s">
        <v>8</v>
      </c>
      <c r="L233" s="687"/>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680">
        <v>20</v>
      </c>
      <c r="M234" s="680"/>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688" t="s">
        <v>483</v>
      </c>
      <c r="B242" s="689" t="s">
        <v>415</v>
      </c>
      <c r="C242" s="689"/>
      <c r="D242" s="689"/>
      <c r="E242" s="689"/>
      <c r="F242" s="689"/>
      <c r="G242" s="689"/>
      <c r="H242" s="689"/>
      <c r="I242" s="689"/>
      <c r="J242" s="689"/>
      <c r="K242" s="689"/>
      <c r="L242" s="689"/>
      <c r="M242" s="689"/>
      <c r="N242" s="689"/>
      <c r="O242" s="689"/>
      <c r="P242" s="190"/>
      <c r="Q242" s="205"/>
      <c r="R242" s="269"/>
    </row>
    <row r="243" spans="1:30" ht="37.5" customHeight="1">
      <c r="A243" s="688"/>
      <c r="B243" s="689"/>
      <c r="C243" s="689"/>
      <c r="D243" s="689"/>
      <c r="E243" s="689"/>
      <c r="F243" s="689"/>
      <c r="G243" s="689"/>
      <c r="H243" s="689"/>
      <c r="I243" s="689"/>
      <c r="J243" s="689"/>
      <c r="K243" s="689"/>
      <c r="L243" s="689"/>
      <c r="M243" s="689"/>
      <c r="N243" s="689"/>
      <c r="O243" s="689"/>
      <c r="P243" s="190"/>
      <c r="Q243" s="205"/>
      <c r="R243" s="269"/>
    </row>
    <row r="244" spans="1:30" ht="15" customHeight="1">
      <c r="A244" s="198"/>
      <c r="B244" s="685" t="s">
        <v>484</v>
      </c>
      <c r="C244" s="685"/>
      <c r="D244" s="685"/>
      <c r="E244" s="685"/>
      <c r="F244" s="685"/>
      <c r="G244" s="685"/>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685"/>
      <c r="C245" s="685"/>
      <c r="D245" s="685"/>
      <c r="E245" s="685"/>
      <c r="F245" s="685"/>
      <c r="G245" s="685"/>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687" t="s">
        <v>8</v>
      </c>
      <c r="L246" s="687"/>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680">
        <v>166</v>
      </c>
      <c r="M247" s="680"/>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681" t="s">
        <v>369</v>
      </c>
      <c r="O248" s="681"/>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681" t="s">
        <v>351</v>
      </c>
      <c r="O249" s="681"/>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682" t="s">
        <v>489</v>
      </c>
      <c r="B253" s="682"/>
      <c r="C253" s="682"/>
      <c r="D253" s="682"/>
      <c r="E253" s="682"/>
      <c r="F253" s="682"/>
      <c r="G253" s="682"/>
      <c r="H253" s="682"/>
      <c r="I253" s="682"/>
      <c r="J253" s="682"/>
      <c r="K253" s="682"/>
      <c r="L253" s="682"/>
      <c r="M253" s="682"/>
      <c r="N253" s="682"/>
      <c r="O253" s="682"/>
      <c r="P253" s="682"/>
      <c r="Q253" s="682"/>
      <c r="R253" s="682"/>
    </row>
    <row r="254" spans="1:30" ht="13.5" customHeight="1">
      <c r="A254" s="682"/>
      <c r="B254" s="682"/>
      <c r="C254" s="682"/>
      <c r="D254" s="682"/>
      <c r="E254" s="682"/>
      <c r="F254" s="682"/>
      <c r="G254" s="682"/>
      <c r="H254" s="682"/>
      <c r="I254" s="682"/>
      <c r="J254" s="682"/>
      <c r="K254" s="682"/>
      <c r="L254" s="682"/>
      <c r="M254" s="682"/>
      <c r="N254" s="682"/>
      <c r="O254" s="682"/>
      <c r="P254" s="682"/>
      <c r="Q254" s="682"/>
      <c r="R254" s="682"/>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683" t="s">
        <v>356</v>
      </c>
      <c r="B260" s="683"/>
      <c r="C260" s="683"/>
      <c r="D260" s="683"/>
      <c r="E260" s="683"/>
      <c r="F260" s="683"/>
      <c r="G260" s="683"/>
      <c r="H260" s="683"/>
      <c r="I260" s="683"/>
      <c r="J260" s="683"/>
      <c r="K260" s="683"/>
      <c r="L260" s="683"/>
      <c r="M260" s="683"/>
      <c r="N260" s="683"/>
      <c r="O260" s="683"/>
      <c r="P260" s="683"/>
      <c r="Q260" s="683"/>
      <c r="R260" s="683"/>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B38:G38"/>
    <mergeCell ref="I40:J40"/>
    <mergeCell ref="B48:H48"/>
    <mergeCell ref="B50:F50"/>
    <mergeCell ref="B51:F51"/>
    <mergeCell ref="I53:J53"/>
    <mergeCell ref="I30:J30"/>
    <mergeCell ref="B31:F31"/>
    <mergeCell ref="B32:F32"/>
    <mergeCell ref="B33:F33"/>
    <mergeCell ref="B34:F34"/>
    <mergeCell ref="I36:J36"/>
    <mergeCell ref="B63:F63"/>
    <mergeCell ref="B64:F64"/>
    <mergeCell ref="B65:F65"/>
    <mergeCell ref="B66:F66"/>
    <mergeCell ref="B68:F68"/>
    <mergeCell ref="B72:L72"/>
    <mergeCell ref="B54:G54"/>
    <mergeCell ref="I56:J56"/>
    <mergeCell ref="B59:I59"/>
    <mergeCell ref="B60:L60"/>
    <mergeCell ref="B61:F61"/>
    <mergeCell ref="B62:F62"/>
    <mergeCell ref="B79:F79"/>
    <mergeCell ref="B80:F80"/>
    <mergeCell ref="B90:H90"/>
    <mergeCell ref="B91:F91"/>
    <mergeCell ref="B92:F92"/>
    <mergeCell ref="B93:F93"/>
    <mergeCell ref="B73:F73"/>
    <mergeCell ref="B74:F74"/>
    <mergeCell ref="B75:F75"/>
    <mergeCell ref="B76:F76"/>
    <mergeCell ref="B77:F77"/>
    <mergeCell ref="B78:F78"/>
    <mergeCell ref="B100:F100"/>
    <mergeCell ref="B101:F101"/>
    <mergeCell ref="B102:F102"/>
    <mergeCell ref="B105:H105"/>
    <mergeCell ref="B106:H106"/>
    <mergeCell ref="B107:F107"/>
    <mergeCell ref="B94:F94"/>
    <mergeCell ref="B95:F95"/>
    <mergeCell ref="B96:F96"/>
    <mergeCell ref="B97:F97"/>
    <mergeCell ref="B98:F98"/>
    <mergeCell ref="B99:F99"/>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51:E151"/>
    <mergeCell ref="B153:F153"/>
    <mergeCell ref="K155:L155"/>
    <mergeCell ref="L156:M156"/>
    <mergeCell ref="B144:J144"/>
    <mergeCell ref="B145:E145"/>
    <mergeCell ref="B146:J146"/>
    <mergeCell ref="B147:C147"/>
    <mergeCell ref="B149:D149"/>
    <mergeCell ref="B150:E150"/>
    <mergeCell ref="L171:M171"/>
    <mergeCell ref="B173:O173"/>
    <mergeCell ref="K179:L179"/>
    <mergeCell ref="L181:M181"/>
    <mergeCell ref="B183:O183"/>
    <mergeCell ref="B184:E184"/>
    <mergeCell ref="F184:H184"/>
    <mergeCell ref="L163:M163"/>
    <mergeCell ref="B167:O167"/>
    <mergeCell ref="B169:E169"/>
    <mergeCell ref="K170:L170"/>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28" customWidth="1"/>
    <col min="19" max="23" width="9.140625" style="157"/>
    <col min="24" max="24" width="22.28515625" style="157" customWidth="1"/>
    <col min="25" max="16384" width="9.140625" style="157"/>
  </cols>
  <sheetData>
    <row r="1" spans="1:18" ht="25.5" customHeight="1">
      <c r="A1" s="721" t="s">
        <v>513</v>
      </c>
      <c r="B1" s="721"/>
      <c r="C1" s="721"/>
      <c r="D1" s="721"/>
      <c r="E1" s="721"/>
      <c r="F1" s="721"/>
      <c r="G1" s="721"/>
      <c r="H1" s="721"/>
      <c r="I1" s="721"/>
      <c r="J1" s="721"/>
      <c r="K1" s="721"/>
      <c r="L1" s="721"/>
      <c r="M1" s="721"/>
      <c r="N1" s="721"/>
      <c r="O1" s="721"/>
      <c r="P1" s="721"/>
      <c r="Q1" s="721"/>
      <c r="R1" s="721"/>
    </row>
    <row r="2" spans="1:18" ht="25.5" customHeight="1">
      <c r="A2" s="721"/>
      <c r="B2" s="721"/>
      <c r="C2" s="721"/>
      <c r="D2" s="721"/>
      <c r="E2" s="721"/>
      <c r="F2" s="721"/>
      <c r="G2" s="721"/>
      <c r="H2" s="721"/>
      <c r="I2" s="721"/>
      <c r="J2" s="721"/>
      <c r="K2" s="721"/>
      <c r="L2" s="721"/>
      <c r="M2" s="721"/>
      <c r="N2" s="721"/>
      <c r="O2" s="721"/>
      <c r="P2" s="721"/>
      <c r="Q2" s="721"/>
      <c r="R2" s="721"/>
    </row>
    <row r="3" spans="1:18" s="159" customFormat="1" ht="28.5" customHeight="1">
      <c r="A3" s="726" t="s">
        <v>514</v>
      </c>
      <c r="B3" s="726"/>
      <c r="C3" s="726"/>
      <c r="D3" s="726"/>
      <c r="E3" s="726"/>
      <c r="F3" s="726"/>
      <c r="G3" s="726"/>
      <c r="H3" s="726"/>
      <c r="I3" s="726"/>
      <c r="J3" s="726"/>
      <c r="K3" s="726"/>
      <c r="L3" s="726"/>
      <c r="M3" s="726"/>
      <c r="N3" s="726"/>
      <c r="O3" s="726"/>
      <c r="P3" s="726"/>
      <c r="Q3" s="726"/>
      <c r="R3" s="726"/>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3" t="s">
        <v>490</v>
      </c>
      <c r="B5" s="690" t="s">
        <v>491</v>
      </c>
      <c r="C5" s="690"/>
      <c r="D5" s="690"/>
      <c r="E5" s="690"/>
      <c r="F5" s="690"/>
      <c r="G5" s="690"/>
      <c r="H5" s="690"/>
      <c r="I5" s="690"/>
      <c r="J5" s="690"/>
      <c r="K5" s="690"/>
      <c r="L5" s="690"/>
      <c r="M5" s="690"/>
      <c r="N5" s="690"/>
      <c r="O5" s="690"/>
      <c r="P5" s="162"/>
      <c r="Q5" s="162"/>
      <c r="R5" s="522"/>
    </row>
    <row r="6" spans="1:18" s="43" customFormat="1" ht="21.75" customHeight="1">
      <c r="A6" s="535"/>
      <c r="B6" s="728" t="s">
        <v>492</v>
      </c>
      <c r="C6" s="728"/>
      <c r="D6" s="728"/>
      <c r="E6" s="728"/>
      <c r="F6" s="728"/>
      <c r="G6" s="728"/>
      <c r="H6" s="728"/>
      <c r="I6" s="728"/>
      <c r="J6" s="728"/>
      <c r="K6" s="728"/>
      <c r="L6" s="728"/>
      <c r="M6" s="728"/>
      <c r="N6" s="728"/>
      <c r="O6" s="728"/>
      <c r="P6" s="162"/>
      <c r="Q6" s="162"/>
      <c r="R6" s="522"/>
    </row>
    <row r="7" spans="1:18" s="43" customFormat="1" ht="21.75" customHeight="1">
      <c r="A7" s="182"/>
      <c r="B7" s="470" t="s">
        <v>493</v>
      </c>
      <c r="C7" s="184"/>
      <c r="D7" s="185"/>
      <c r="E7" s="185"/>
      <c r="F7" s="510">
        <v>38</v>
      </c>
      <c r="G7" s="510" t="s">
        <v>1</v>
      </c>
      <c r="H7" s="186">
        <v>2.1</v>
      </c>
      <c r="I7" s="510" t="s">
        <v>1</v>
      </c>
      <c r="J7" s="186">
        <v>2.1</v>
      </c>
      <c r="K7" s="510" t="s">
        <v>1</v>
      </c>
      <c r="L7" s="187">
        <v>2</v>
      </c>
      <c r="M7" s="190" t="s">
        <v>0</v>
      </c>
      <c r="N7" s="199">
        <f>L7*J7*H7*F7</f>
        <v>335.16</v>
      </c>
      <c r="O7" s="192" t="s">
        <v>418</v>
      </c>
      <c r="P7" s="162"/>
      <c r="Q7" s="162"/>
      <c r="R7" s="522"/>
    </row>
    <row r="8" spans="1:18" s="43" customFormat="1" ht="21.75" customHeight="1">
      <c r="A8" s="192"/>
      <c r="B8" s="719" t="s">
        <v>494</v>
      </c>
      <c r="C8" s="719"/>
      <c r="D8" s="719"/>
      <c r="E8" s="719"/>
      <c r="F8" s="510">
        <v>1</v>
      </c>
      <c r="G8" s="510" t="s">
        <v>1</v>
      </c>
      <c r="H8" s="186">
        <v>257.7</v>
      </c>
      <c r="I8" s="510" t="s">
        <v>1</v>
      </c>
      <c r="J8" s="186">
        <v>0.25</v>
      </c>
      <c r="K8" s="510" t="s">
        <v>1</v>
      </c>
      <c r="L8" s="187">
        <v>1.2</v>
      </c>
      <c r="M8" s="188" t="s">
        <v>0</v>
      </c>
      <c r="N8" s="189">
        <f t="shared" ref="N8" si="0">L8*J8*H8*F8</f>
        <v>77.309999999999988</v>
      </c>
      <c r="O8" s="536" t="s">
        <v>418</v>
      </c>
      <c r="P8" s="164"/>
      <c r="Q8" s="164"/>
      <c r="R8" s="512"/>
    </row>
    <row r="9" spans="1:18" s="43" customFormat="1" ht="15.75" customHeight="1">
      <c r="A9" s="182"/>
      <c r="B9" s="719"/>
      <c r="C9" s="719"/>
      <c r="D9" s="719"/>
      <c r="E9" s="719"/>
      <c r="F9" s="186"/>
      <c r="G9" s="510"/>
      <c r="H9" s="186"/>
      <c r="I9" s="510"/>
      <c r="J9" s="186"/>
      <c r="K9" s="687" t="s">
        <v>8</v>
      </c>
      <c r="L9" s="687"/>
      <c r="M9" s="190" t="s">
        <v>0</v>
      </c>
      <c r="N9" s="191">
        <f>SUM(N7:N8)</f>
        <v>412.47</v>
      </c>
      <c r="O9" s="192" t="s">
        <v>418</v>
      </c>
      <c r="P9" s="162"/>
      <c r="Q9" s="162"/>
      <c r="R9" s="522"/>
    </row>
    <row r="10" spans="1:18" s="43" customFormat="1" ht="16.5" customHeight="1">
      <c r="A10" s="182"/>
      <c r="B10" s="184"/>
      <c r="C10" s="184"/>
      <c r="D10" s="510"/>
      <c r="E10" s="510"/>
      <c r="F10" s="186"/>
      <c r="G10" s="510"/>
      <c r="H10" s="186"/>
      <c r="I10" s="510"/>
      <c r="J10" s="193" t="s">
        <v>350</v>
      </c>
      <c r="K10" s="502" t="s">
        <v>11</v>
      </c>
      <c r="L10" s="680">
        <v>159</v>
      </c>
      <c r="M10" s="680"/>
      <c r="N10" s="513" t="s">
        <v>419</v>
      </c>
      <c r="O10" s="192"/>
      <c r="P10" s="455" t="s">
        <v>0</v>
      </c>
      <c r="Q10" s="166" t="s">
        <v>11</v>
      </c>
      <c r="R10" s="523">
        <f>ROUND(N9*L10,0)</f>
        <v>65583</v>
      </c>
    </row>
    <row r="11" spans="1:18" s="43" customFormat="1">
      <c r="A11" s="182"/>
      <c r="B11" s="184"/>
      <c r="C11" s="184"/>
      <c r="D11" s="510"/>
      <c r="E11" s="510"/>
      <c r="F11" s="186"/>
      <c r="G11" s="510"/>
      <c r="H11" s="186"/>
      <c r="I11" s="510"/>
      <c r="J11" s="193"/>
      <c r="K11" s="502"/>
      <c r="L11" s="502"/>
      <c r="M11" s="502"/>
      <c r="N11" s="513"/>
      <c r="O11" s="192"/>
      <c r="P11" s="455"/>
      <c r="Q11" s="166"/>
      <c r="R11" s="523"/>
    </row>
    <row r="12" spans="1:18" s="43" customFormat="1" ht="71.25" customHeight="1">
      <c r="A12" s="537" t="s">
        <v>495</v>
      </c>
      <c r="B12" s="690" t="s">
        <v>496</v>
      </c>
      <c r="C12" s="690"/>
      <c r="D12" s="690"/>
      <c r="E12" s="690"/>
      <c r="F12" s="690"/>
      <c r="G12" s="690"/>
      <c r="H12" s="690"/>
      <c r="I12" s="690"/>
      <c r="J12" s="690"/>
      <c r="K12" s="690"/>
      <c r="L12" s="690"/>
      <c r="M12" s="690"/>
      <c r="N12" s="690"/>
      <c r="O12" s="690"/>
      <c r="P12" s="162"/>
      <c r="Q12" s="162"/>
      <c r="R12" s="522"/>
    </row>
    <row r="13" spans="1:18" s="43" customFormat="1" ht="17.25">
      <c r="A13" s="192"/>
      <c r="B13" s="202" t="s">
        <v>493</v>
      </c>
      <c r="C13" s="192"/>
      <c r="D13" s="185"/>
      <c r="E13" s="185"/>
      <c r="F13" s="203"/>
      <c r="G13" s="510"/>
      <c r="H13" s="203">
        <f>F7*1</f>
        <v>38</v>
      </c>
      <c r="I13" s="510" t="s">
        <v>1</v>
      </c>
      <c r="J13" s="186">
        <f>H7*1</f>
        <v>2.1</v>
      </c>
      <c r="K13" s="510" t="s">
        <v>1</v>
      </c>
      <c r="L13" s="186">
        <f>J7*1</f>
        <v>2.1</v>
      </c>
      <c r="M13" s="504" t="s">
        <v>0</v>
      </c>
      <c r="N13" s="199">
        <f>L13*J13*H13</f>
        <v>167.58</v>
      </c>
      <c r="O13" s="185" t="s">
        <v>420</v>
      </c>
      <c r="P13" s="168"/>
      <c r="Q13" s="168"/>
      <c r="R13" s="524"/>
    </row>
    <row r="14" spans="1:18" s="43" customFormat="1" ht="18.75" customHeight="1">
      <c r="A14" s="185"/>
      <c r="B14" s="185"/>
      <c r="C14" s="185"/>
      <c r="D14" s="185"/>
      <c r="E14" s="185"/>
      <c r="F14" s="185"/>
      <c r="G14" s="185"/>
      <c r="H14" s="185"/>
      <c r="I14" s="185"/>
      <c r="J14" s="185"/>
      <c r="K14" s="703" t="s">
        <v>8</v>
      </c>
      <c r="L14" s="703"/>
      <c r="M14" s="228" t="s">
        <v>0</v>
      </c>
      <c r="N14" s="235">
        <f>SUM(N13:N13)</f>
        <v>167.58</v>
      </c>
      <c r="O14" s="538" t="s">
        <v>420</v>
      </c>
      <c r="P14" s="157"/>
      <c r="Q14" s="157"/>
      <c r="R14" s="250"/>
    </row>
    <row r="15" spans="1:18" s="43" customFormat="1" ht="17.25" customHeight="1">
      <c r="A15" s="182"/>
      <c r="B15" s="182"/>
      <c r="C15" s="182"/>
      <c r="D15" s="182"/>
      <c r="E15" s="182"/>
      <c r="F15" s="182"/>
      <c r="G15" s="182"/>
      <c r="H15" s="182"/>
      <c r="I15" s="182"/>
      <c r="J15" s="193" t="s">
        <v>350</v>
      </c>
      <c r="K15" s="502" t="s">
        <v>11</v>
      </c>
      <c r="L15" s="680">
        <v>220</v>
      </c>
      <c r="M15" s="680"/>
      <c r="N15" s="513" t="s">
        <v>421</v>
      </c>
      <c r="O15" s="192"/>
      <c r="P15" s="457" t="s">
        <v>0</v>
      </c>
      <c r="Q15" s="170" t="s">
        <v>11</v>
      </c>
      <c r="R15" s="525">
        <f>ROUND(N14*L15,0)</f>
        <v>36868</v>
      </c>
    </row>
    <row r="16" spans="1:18" s="43" customFormat="1">
      <c r="A16" s="182"/>
      <c r="B16" s="184"/>
      <c r="C16" s="184"/>
      <c r="D16" s="510"/>
      <c r="E16" s="510"/>
      <c r="F16" s="186"/>
      <c r="G16" s="510"/>
      <c r="H16" s="186"/>
      <c r="I16" s="510"/>
      <c r="J16" s="193"/>
      <c r="K16" s="502"/>
      <c r="L16" s="502"/>
      <c r="M16" s="502"/>
      <c r="N16" s="513"/>
      <c r="O16" s="192"/>
      <c r="P16" s="455"/>
      <c r="Q16" s="166"/>
      <c r="R16" s="523"/>
    </row>
    <row r="17" spans="1:19" s="43" customFormat="1">
      <c r="A17" s="182"/>
      <c r="B17" s="184"/>
      <c r="C17" s="184"/>
      <c r="D17" s="510"/>
      <c r="E17" s="510"/>
      <c r="F17" s="186"/>
      <c r="G17" s="510"/>
      <c r="H17" s="186"/>
      <c r="I17" s="510"/>
      <c r="J17" s="193"/>
      <c r="K17" s="502"/>
      <c r="L17" s="502"/>
      <c r="M17" s="502"/>
      <c r="N17" s="513"/>
      <c r="O17" s="192"/>
      <c r="P17" s="455"/>
      <c r="Q17" s="166"/>
      <c r="R17" s="523"/>
    </row>
    <row r="18" spans="1:19" s="43" customFormat="1" ht="36" customHeight="1">
      <c r="A18" s="537" t="s">
        <v>497</v>
      </c>
      <c r="B18" s="690" t="s">
        <v>498</v>
      </c>
      <c r="C18" s="690"/>
      <c r="D18" s="690"/>
      <c r="E18" s="690"/>
      <c r="F18" s="690"/>
      <c r="G18" s="690"/>
      <c r="H18" s="690"/>
      <c r="I18" s="690"/>
      <c r="J18" s="690"/>
      <c r="K18" s="690"/>
      <c r="L18" s="690"/>
      <c r="M18" s="690"/>
      <c r="N18" s="690"/>
      <c r="O18" s="690"/>
      <c r="P18" s="162"/>
      <c r="Q18" s="162"/>
      <c r="R18" s="522"/>
    </row>
    <row r="19" spans="1:19" s="43" customFormat="1" ht="22.5" customHeight="1">
      <c r="A19" s="539"/>
      <c r="B19" s="684" t="s">
        <v>499</v>
      </c>
      <c r="C19" s="684"/>
      <c r="D19" s="684"/>
      <c r="E19" s="684"/>
      <c r="F19" s="684"/>
      <c r="G19" s="505"/>
      <c r="H19" s="505"/>
      <c r="I19" s="505"/>
      <c r="J19" s="505"/>
      <c r="K19" s="505"/>
      <c r="L19" s="505"/>
      <c r="M19" s="505"/>
      <c r="N19" s="505"/>
      <c r="O19" s="505"/>
      <c r="P19" s="162"/>
      <c r="Q19" s="162"/>
      <c r="R19" s="522"/>
    </row>
    <row r="20" spans="1:19" s="43" customFormat="1" ht="21" customHeight="1">
      <c r="A20" s="182"/>
      <c r="B20" s="202" t="s">
        <v>493</v>
      </c>
      <c r="C20" s="184"/>
      <c r="D20" s="185"/>
      <c r="E20" s="185"/>
      <c r="F20" s="510">
        <f>F7*1</f>
        <v>38</v>
      </c>
      <c r="G20" s="510" t="s">
        <v>1</v>
      </c>
      <c r="H20" s="186">
        <f>J13</f>
        <v>2.1</v>
      </c>
      <c r="I20" s="510" t="s">
        <v>1</v>
      </c>
      <c r="J20" s="186">
        <f>L13</f>
        <v>2.1</v>
      </c>
      <c r="K20" s="510" t="s">
        <v>1</v>
      </c>
      <c r="L20" s="187">
        <v>0.1</v>
      </c>
      <c r="M20" s="190" t="s">
        <v>0</v>
      </c>
      <c r="N20" s="199">
        <f>L20*J20*H20*F20</f>
        <v>16.758000000000003</v>
      </c>
      <c r="O20" s="192" t="s">
        <v>418</v>
      </c>
      <c r="P20" s="162"/>
      <c r="Q20" s="162"/>
      <c r="R20" s="522"/>
    </row>
    <row r="21" spans="1:19" s="43" customFormat="1" ht="21" customHeight="1">
      <c r="A21" s="182"/>
      <c r="B21" s="719" t="s">
        <v>494</v>
      </c>
      <c r="C21" s="719"/>
      <c r="D21" s="719"/>
      <c r="E21" s="719"/>
      <c r="F21" s="510">
        <v>1</v>
      </c>
      <c r="G21" s="510" t="s">
        <v>1</v>
      </c>
      <c r="H21" s="186">
        <v>214.3</v>
      </c>
      <c r="I21" s="510" t="s">
        <v>1</v>
      </c>
      <c r="J21" s="186">
        <f>J8*1</f>
        <v>0.25</v>
      </c>
      <c r="K21" s="510" t="s">
        <v>1</v>
      </c>
      <c r="L21" s="186">
        <v>0.1</v>
      </c>
      <c r="M21" s="188" t="s">
        <v>0</v>
      </c>
      <c r="N21" s="189">
        <f>ROUND(F21*H21*J21*L21,2)</f>
        <v>5.36</v>
      </c>
      <c r="O21" s="536" t="s">
        <v>418</v>
      </c>
      <c r="P21" s="162"/>
      <c r="Q21" s="162"/>
      <c r="R21" s="522"/>
    </row>
    <row r="22" spans="1:19" s="43" customFormat="1" ht="16.5" customHeight="1">
      <c r="A22" s="182"/>
      <c r="B22" s="719"/>
      <c r="C22" s="719"/>
      <c r="D22" s="719"/>
      <c r="E22" s="719"/>
      <c r="F22" s="182"/>
      <c r="G22" s="182"/>
      <c r="H22" s="182"/>
      <c r="I22" s="182"/>
      <c r="J22" s="182"/>
      <c r="K22" s="687" t="s">
        <v>8</v>
      </c>
      <c r="L22" s="687"/>
      <c r="M22" s="190" t="s">
        <v>0</v>
      </c>
      <c r="N22" s="540">
        <f>SUM(N20:N21)</f>
        <v>22.118000000000002</v>
      </c>
      <c r="O22" s="192" t="s">
        <v>418</v>
      </c>
      <c r="P22" s="162"/>
      <c r="Q22" s="162"/>
      <c r="R22" s="522"/>
    </row>
    <row r="23" spans="1:19" s="43" customFormat="1" ht="17.25">
      <c r="A23" s="182"/>
      <c r="B23" s="182"/>
      <c r="C23" s="182"/>
      <c r="D23" s="182"/>
      <c r="E23" s="182"/>
      <c r="F23" s="182"/>
      <c r="G23" s="182"/>
      <c r="H23" s="182"/>
      <c r="I23" s="182"/>
      <c r="J23" s="193" t="s">
        <v>350</v>
      </c>
      <c r="K23" s="502" t="s">
        <v>11</v>
      </c>
      <c r="L23" s="680">
        <v>6354</v>
      </c>
      <c r="M23" s="680"/>
      <c r="N23" s="513" t="s">
        <v>419</v>
      </c>
      <c r="O23" s="192"/>
      <c r="P23" s="455" t="s">
        <v>0</v>
      </c>
      <c r="Q23" s="166" t="s">
        <v>11</v>
      </c>
      <c r="R23" s="523">
        <f>ROUND(N22*L23,0)</f>
        <v>140538</v>
      </c>
    </row>
    <row r="24" spans="1:19" s="43" customFormat="1" ht="13.5" customHeight="1">
      <c r="A24" s="182"/>
      <c r="B24" s="182"/>
      <c r="C24" s="182"/>
      <c r="D24" s="182"/>
      <c r="E24" s="182"/>
      <c r="F24" s="182"/>
      <c r="G24" s="182"/>
      <c r="H24" s="182"/>
      <c r="I24" s="182"/>
      <c r="J24" s="193"/>
      <c r="K24" s="502"/>
      <c r="L24" s="502"/>
      <c r="M24" s="502"/>
      <c r="N24" s="513"/>
      <c r="O24" s="192"/>
      <c r="P24" s="455"/>
      <c r="Q24" s="166"/>
      <c r="R24" s="523"/>
      <c r="S24" s="61"/>
    </row>
    <row r="25" spans="1:19" s="43" customFormat="1" ht="49.5" customHeight="1">
      <c r="A25" s="537" t="s">
        <v>500</v>
      </c>
      <c r="B25" s="690" t="s">
        <v>501</v>
      </c>
      <c r="C25" s="690"/>
      <c r="D25" s="690"/>
      <c r="E25" s="690"/>
      <c r="F25" s="690"/>
      <c r="G25" s="690"/>
      <c r="H25" s="690"/>
      <c r="I25" s="690"/>
      <c r="J25" s="690"/>
      <c r="K25" s="690"/>
      <c r="L25" s="690"/>
      <c r="M25" s="690"/>
      <c r="N25" s="690"/>
      <c r="O25" s="690"/>
      <c r="P25" s="162"/>
      <c r="Q25" s="162"/>
      <c r="R25" s="522"/>
    </row>
    <row r="26" spans="1:19" s="43" customFormat="1" ht="27" customHeight="1">
      <c r="A26" s="539"/>
      <c r="B26" s="688" t="s">
        <v>494</v>
      </c>
      <c r="C26" s="688"/>
      <c r="D26" s="688"/>
      <c r="E26" s="688"/>
      <c r="F26" s="688"/>
      <c r="G26" s="185"/>
      <c r="H26" s="185"/>
      <c r="I26" s="185"/>
      <c r="J26" s="185"/>
      <c r="K26" s="185"/>
      <c r="L26" s="185"/>
      <c r="M26" s="185"/>
      <c r="N26" s="185"/>
      <c r="O26" s="185"/>
      <c r="P26" s="162"/>
      <c r="Q26" s="162"/>
      <c r="R26" s="522"/>
    </row>
    <row r="27" spans="1:19" s="43" customFormat="1" ht="18.75" customHeight="1">
      <c r="A27" s="539"/>
      <c r="B27" s="700"/>
      <c r="C27" s="700"/>
      <c r="D27" s="503"/>
      <c r="E27" s="505"/>
      <c r="F27" s="510">
        <v>1</v>
      </c>
      <c r="G27" s="510" t="s">
        <v>1</v>
      </c>
      <c r="H27" s="186">
        <f>H21*1</f>
        <v>214.3</v>
      </c>
      <c r="I27" s="510" t="s">
        <v>1</v>
      </c>
      <c r="J27" s="186">
        <f>J21*1</f>
        <v>0.25</v>
      </c>
      <c r="K27" s="510" t="s">
        <v>1</v>
      </c>
      <c r="L27" s="187">
        <v>0.6</v>
      </c>
      <c r="M27" s="188" t="s">
        <v>0</v>
      </c>
      <c r="N27" s="189">
        <f>L27*J27*H27*F27</f>
        <v>32.145000000000003</v>
      </c>
      <c r="O27" s="536" t="s">
        <v>418</v>
      </c>
      <c r="P27" s="162"/>
      <c r="Q27" s="162"/>
      <c r="R27" s="522"/>
    </row>
    <row r="28" spans="1:19" s="43" customFormat="1" ht="18.75" customHeight="1">
      <c r="A28" s="182"/>
      <c r="B28" s="182"/>
      <c r="C28" s="182"/>
      <c r="D28" s="182"/>
      <c r="E28" s="182"/>
      <c r="F28" s="182"/>
      <c r="G28" s="182"/>
      <c r="H28" s="182"/>
      <c r="I28" s="182"/>
      <c r="J28" s="182"/>
      <c r="K28" s="687" t="s">
        <v>8</v>
      </c>
      <c r="L28" s="687"/>
      <c r="M28" s="190" t="s">
        <v>0</v>
      </c>
      <c r="N28" s="540">
        <f>SUM(N27:N27)</f>
        <v>32.145000000000003</v>
      </c>
      <c r="O28" s="192" t="s">
        <v>418</v>
      </c>
      <c r="P28" s="162"/>
      <c r="Q28" s="162"/>
      <c r="R28" s="522"/>
    </row>
    <row r="29" spans="1:19" s="43" customFormat="1" ht="17.25">
      <c r="A29" s="182"/>
      <c r="B29" s="182"/>
      <c r="C29" s="182"/>
      <c r="D29" s="182"/>
      <c r="E29" s="182"/>
      <c r="F29" s="182"/>
      <c r="G29" s="182"/>
      <c r="H29" s="182"/>
      <c r="I29" s="182"/>
      <c r="J29" s="193" t="s">
        <v>350</v>
      </c>
      <c r="K29" s="502" t="s">
        <v>11</v>
      </c>
      <c r="L29" s="680">
        <v>3822</v>
      </c>
      <c r="M29" s="680"/>
      <c r="N29" s="513" t="s">
        <v>419</v>
      </c>
      <c r="O29" s="192"/>
      <c r="P29" s="455" t="s">
        <v>0</v>
      </c>
      <c r="Q29" s="166" t="s">
        <v>11</v>
      </c>
      <c r="R29" s="523">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3"/>
    </row>
    <row r="31" spans="1:19" s="43" customFormat="1">
      <c r="A31" s="489"/>
      <c r="B31" s="162"/>
      <c r="C31" s="162"/>
      <c r="D31" s="162"/>
      <c r="E31" s="162"/>
      <c r="F31" s="162"/>
      <c r="G31" s="162"/>
      <c r="H31" s="162"/>
      <c r="I31" s="162"/>
      <c r="J31" s="459"/>
      <c r="K31" s="516"/>
      <c r="L31" s="516"/>
      <c r="M31" s="516"/>
      <c r="N31" s="460"/>
      <c r="O31" s="164"/>
      <c r="P31" s="455"/>
      <c r="Q31" s="166"/>
      <c r="R31" s="523"/>
    </row>
    <row r="32" spans="1:19" s="43" customFormat="1">
      <c r="A32" s="489"/>
      <c r="B32" s="162"/>
      <c r="C32" s="162"/>
      <c r="D32" s="162"/>
      <c r="E32" s="162"/>
      <c r="F32" s="162"/>
      <c r="G32" s="162"/>
      <c r="H32" s="162"/>
      <c r="I32" s="162"/>
      <c r="J32" s="459"/>
      <c r="K32" s="516"/>
      <c r="L32" s="516"/>
      <c r="M32" s="516"/>
      <c r="N32" s="460"/>
      <c r="O32" s="164"/>
      <c r="P32" s="455"/>
      <c r="Q32" s="166"/>
      <c r="R32" s="523"/>
    </row>
    <row r="33" spans="1:30" s="43" customFormat="1">
      <c r="A33" s="489"/>
      <c r="B33" s="162"/>
      <c r="C33" s="162"/>
      <c r="D33" s="162"/>
      <c r="E33" s="162"/>
      <c r="F33" s="162"/>
      <c r="G33" s="162"/>
      <c r="H33" s="162"/>
      <c r="I33" s="162"/>
      <c r="J33" s="459"/>
      <c r="K33" s="165"/>
      <c r="L33" s="165"/>
      <c r="M33" s="165"/>
      <c r="N33" s="460"/>
      <c r="O33" s="164"/>
      <c r="P33" s="455"/>
      <c r="Q33" s="166"/>
      <c r="R33" s="523"/>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723" t="s">
        <v>352</v>
      </c>
      <c r="C36" s="723"/>
      <c r="D36" s="723"/>
      <c r="E36" s="723"/>
      <c r="F36" s="723"/>
      <c r="G36" s="723"/>
      <c r="H36" s="723"/>
      <c r="I36" s="723"/>
      <c r="J36" s="723"/>
      <c r="K36" s="723"/>
      <c r="L36" s="723"/>
      <c r="M36" s="723"/>
      <c r="N36" s="723"/>
      <c r="O36" s="723"/>
      <c r="P36" s="182"/>
      <c r="Q36" s="182"/>
      <c r="R36" s="526"/>
    </row>
    <row r="37" spans="1:30" ht="15" customHeight="1">
      <c r="A37" s="490"/>
      <c r="B37" s="727" t="s">
        <v>427</v>
      </c>
      <c r="C37" s="727"/>
      <c r="D37" s="727"/>
      <c r="E37" s="727"/>
      <c r="F37" s="727"/>
      <c r="G37" s="727"/>
      <c r="H37" s="727"/>
      <c r="I37" s="727"/>
      <c r="J37" s="727"/>
      <c r="K37" s="302"/>
      <c r="L37" s="302"/>
      <c r="M37" s="302"/>
      <c r="N37" s="302"/>
      <c r="O37" s="347"/>
      <c r="P37" s="182"/>
      <c r="Q37" s="182"/>
      <c r="R37" s="526"/>
    </row>
    <row r="38" spans="1:30" ht="13.5" customHeight="1">
      <c r="A38" s="490"/>
      <c r="B38" s="724" t="s">
        <v>357</v>
      </c>
      <c r="C38" s="724"/>
      <c r="D38" s="724"/>
      <c r="E38" s="724"/>
      <c r="F38" s="724"/>
      <c r="G38" s="724"/>
      <c r="H38" s="724"/>
      <c r="I38" s="724"/>
      <c r="J38" s="302"/>
      <c r="K38" s="302"/>
      <c r="L38" s="302"/>
      <c r="M38" s="302"/>
      <c r="N38" s="302"/>
      <c r="O38" s="437"/>
      <c r="P38" s="182"/>
      <c r="Q38" s="182"/>
      <c r="R38" s="526"/>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27"/>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27"/>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27"/>
      <c r="X41" s="725"/>
      <c r="Y41" s="725"/>
      <c r="Z41" s="442"/>
      <c r="AA41" s="442"/>
      <c r="AB41" s="442"/>
      <c r="AC41" s="172"/>
      <c r="AD41" s="442"/>
    </row>
    <row r="42" spans="1:30" ht="15" customHeight="1">
      <c r="A42" s="281"/>
      <c r="B42" s="192"/>
      <c r="C42" s="192"/>
      <c r="D42" s="192"/>
      <c r="E42" s="185"/>
      <c r="F42" s="193" t="s">
        <v>350</v>
      </c>
      <c r="G42" s="435" t="s">
        <v>11</v>
      </c>
      <c r="H42" s="435">
        <v>1.58</v>
      </c>
      <c r="I42" s="701" t="s">
        <v>353</v>
      </c>
      <c r="J42" s="706"/>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1"/>
      <c r="J43" s="513"/>
      <c r="K43" s="185"/>
      <c r="L43" s="185"/>
      <c r="M43" s="184"/>
      <c r="N43" s="502"/>
      <c r="O43" s="268"/>
      <c r="P43" s="185"/>
      <c r="Q43" s="185"/>
      <c r="X43" s="173"/>
      <c r="Y43" s="514"/>
      <c r="Z43" s="514"/>
      <c r="AA43" s="514"/>
      <c r="AB43" s="514"/>
      <c r="AC43" s="172"/>
      <c r="AD43" s="514"/>
    </row>
    <row r="44" spans="1:30">
      <c r="A44" s="445"/>
      <c r="B44" s="719" t="s">
        <v>417</v>
      </c>
      <c r="C44" s="719"/>
      <c r="D44" s="719"/>
      <c r="E44" s="719"/>
      <c r="F44" s="719"/>
      <c r="G44" s="719"/>
      <c r="H44" s="719"/>
      <c r="I44" s="439"/>
      <c r="J44" s="440"/>
      <c r="K44" s="185"/>
      <c r="L44" s="185"/>
      <c r="M44" s="184"/>
      <c r="N44" s="435"/>
      <c r="O44" s="268"/>
      <c r="P44" s="182"/>
      <c r="Q44" s="182"/>
      <c r="R44" s="527"/>
      <c r="U44" s="168"/>
      <c r="V44" s="168"/>
      <c r="W44" s="168"/>
      <c r="X44" s="173"/>
      <c r="Y44" s="349"/>
      <c r="Z44" s="349"/>
      <c r="AA44" s="349"/>
      <c r="AB44" s="349"/>
      <c r="AC44" s="172"/>
      <c r="AD44" s="349"/>
    </row>
    <row r="45" spans="1:30" ht="28.5" customHeight="1">
      <c r="A45" s="445"/>
      <c r="B45" s="710" t="s">
        <v>385</v>
      </c>
      <c r="C45" s="710"/>
      <c r="D45" s="710"/>
      <c r="E45" s="710"/>
      <c r="F45" s="710"/>
      <c r="G45" s="710"/>
      <c r="H45" s="203"/>
      <c r="I45" s="342"/>
      <c r="J45" s="203"/>
      <c r="K45" s="342"/>
      <c r="L45" s="186"/>
      <c r="M45" s="190"/>
      <c r="N45" s="213"/>
      <c r="O45" s="343"/>
      <c r="P45" s="182"/>
      <c r="Q45" s="182"/>
      <c r="R45" s="527"/>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27"/>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27"/>
      <c r="U47" s="168"/>
      <c r="V47" s="168"/>
      <c r="W47" s="168"/>
      <c r="X47" s="172"/>
      <c r="Y47" s="349"/>
      <c r="Z47" s="349"/>
      <c r="AA47" s="349"/>
      <c r="AB47" s="174"/>
      <c r="AC47" s="172"/>
      <c r="AD47" s="349"/>
    </row>
    <row r="48" spans="1:30">
      <c r="A48" s="445"/>
      <c r="B48" s="192"/>
      <c r="C48" s="192"/>
      <c r="D48" s="192"/>
      <c r="E48" s="185"/>
      <c r="F48" s="193" t="s">
        <v>350</v>
      </c>
      <c r="G48" s="344" t="s">
        <v>11</v>
      </c>
      <c r="H48" s="344">
        <v>0.39</v>
      </c>
      <c r="I48" s="701" t="s">
        <v>353</v>
      </c>
      <c r="J48" s="706"/>
      <c r="K48" s="185"/>
      <c r="L48" s="185"/>
      <c r="M48" s="184" t="s">
        <v>0</v>
      </c>
      <c r="N48" s="344">
        <f>H48*N47</f>
        <v>426.81600000000003</v>
      </c>
      <c r="O48" s="268" t="s">
        <v>100</v>
      </c>
      <c r="P48" s="182"/>
      <c r="Q48" s="182"/>
      <c r="R48" s="527"/>
      <c r="U48" s="168"/>
      <c r="V48" s="168"/>
      <c r="W48" s="168"/>
      <c r="X48" s="720"/>
      <c r="Y48" s="720"/>
      <c r="Z48" s="720"/>
      <c r="AA48" s="720"/>
      <c r="AB48" s="720"/>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724" t="s">
        <v>357</v>
      </c>
      <c r="C50" s="724"/>
      <c r="D50" s="724"/>
      <c r="E50" s="724"/>
      <c r="F50" s="724"/>
      <c r="G50" s="724"/>
      <c r="H50" s="724"/>
      <c r="I50" s="724"/>
      <c r="J50" s="302"/>
      <c r="K50" s="302"/>
      <c r="L50" s="302"/>
      <c r="M50" s="302"/>
      <c r="N50" s="302"/>
      <c r="O50" s="437"/>
      <c r="P50" s="182"/>
      <c r="Q50" s="182"/>
      <c r="R50" s="526"/>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27"/>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27"/>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27"/>
      <c r="X53" s="725"/>
      <c r="Y53" s="725"/>
      <c r="Z53" s="442"/>
      <c r="AA53" s="442"/>
      <c r="AB53" s="442"/>
      <c r="AC53" s="172"/>
      <c r="AD53" s="442"/>
    </row>
    <row r="54" spans="1:30" ht="15" customHeight="1">
      <c r="A54" s="281"/>
      <c r="B54" s="192"/>
      <c r="C54" s="192"/>
      <c r="D54" s="192"/>
      <c r="E54" s="185"/>
      <c r="F54" s="193" t="s">
        <v>350</v>
      </c>
      <c r="G54" s="435" t="s">
        <v>11</v>
      </c>
      <c r="H54" s="435">
        <v>1.58</v>
      </c>
      <c r="I54" s="701" t="s">
        <v>353</v>
      </c>
      <c r="J54" s="706"/>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724" t="s">
        <v>508</v>
      </c>
      <c r="C55" s="724"/>
      <c r="D55" s="724"/>
      <c r="E55" s="724"/>
      <c r="F55" s="724"/>
      <c r="G55" s="724"/>
      <c r="H55" s="724"/>
      <c r="I55" s="724"/>
      <c r="J55" s="302"/>
      <c r="K55" s="302"/>
      <c r="L55" s="302"/>
      <c r="M55" s="302"/>
      <c r="N55" s="302"/>
      <c r="O55" s="437"/>
      <c r="P55" s="182"/>
      <c r="Q55" s="182"/>
      <c r="R55" s="526"/>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27"/>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27"/>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27"/>
      <c r="X58" s="725"/>
      <c r="Y58" s="725"/>
      <c r="Z58" s="442"/>
      <c r="AA58" s="442"/>
      <c r="AB58" s="442"/>
      <c r="AC58" s="172"/>
      <c r="AD58" s="442"/>
    </row>
    <row r="59" spans="1:30" ht="15" customHeight="1">
      <c r="A59" s="281"/>
      <c r="B59" s="192"/>
      <c r="C59" s="192"/>
      <c r="D59" s="192"/>
      <c r="E59" s="185"/>
      <c r="F59" s="193" t="s">
        <v>350</v>
      </c>
      <c r="G59" s="435" t="s">
        <v>11</v>
      </c>
      <c r="H59" s="435">
        <v>0.88</v>
      </c>
      <c r="I59" s="701" t="s">
        <v>353</v>
      </c>
      <c r="J59" s="706"/>
      <c r="K59" s="185"/>
      <c r="L59" s="185"/>
      <c r="M59" s="184" t="s">
        <v>0</v>
      </c>
      <c r="N59" s="435">
        <f>H59*N58</f>
        <v>936.32</v>
      </c>
      <c r="O59" s="268" t="s">
        <v>100</v>
      </c>
      <c r="P59" s="185"/>
      <c r="Q59" s="185"/>
      <c r="X59" s="173"/>
      <c r="Y59" s="442"/>
      <c r="Z59" s="442"/>
      <c r="AA59" s="442"/>
      <c r="AB59" s="442"/>
      <c r="AC59" s="172"/>
      <c r="AD59" s="442"/>
    </row>
    <row r="60" spans="1:30">
      <c r="A60" s="445"/>
      <c r="B60" s="719" t="s">
        <v>417</v>
      </c>
      <c r="C60" s="719"/>
      <c r="D60" s="719"/>
      <c r="E60" s="719"/>
      <c r="F60" s="719"/>
      <c r="G60" s="719"/>
      <c r="H60" s="719"/>
      <c r="I60" s="439"/>
      <c r="J60" s="440"/>
      <c r="K60" s="185"/>
      <c r="L60" s="185"/>
      <c r="M60" s="184"/>
      <c r="N60" s="435"/>
      <c r="O60" s="268"/>
      <c r="P60" s="182"/>
      <c r="Q60" s="182"/>
      <c r="R60" s="527"/>
      <c r="U60" s="168"/>
      <c r="V60" s="168"/>
      <c r="W60" s="168"/>
      <c r="X60" s="173"/>
      <c r="Y60" s="442"/>
      <c r="Z60" s="442"/>
      <c r="AA60" s="442"/>
      <c r="AB60" s="442"/>
      <c r="AC60" s="172"/>
      <c r="AD60" s="442"/>
    </row>
    <row r="61" spans="1:30" ht="36" customHeight="1">
      <c r="A61" s="445"/>
      <c r="B61" s="710" t="s">
        <v>385</v>
      </c>
      <c r="C61" s="710"/>
      <c r="D61" s="710"/>
      <c r="E61" s="710"/>
      <c r="F61" s="710"/>
      <c r="G61" s="710"/>
      <c r="H61" s="203"/>
      <c r="I61" s="438"/>
      <c r="J61" s="203"/>
      <c r="K61" s="438"/>
      <c r="L61" s="186"/>
      <c r="M61" s="190"/>
      <c r="N61" s="213"/>
      <c r="O61" s="436"/>
      <c r="P61" s="182"/>
      <c r="Q61" s="182"/>
      <c r="R61" s="527"/>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27"/>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27"/>
      <c r="U63" s="168"/>
      <c r="V63" s="168"/>
      <c r="W63" s="168"/>
      <c r="X63" s="172"/>
      <c r="Y63" s="442"/>
      <c r="Z63" s="442"/>
      <c r="AA63" s="442"/>
      <c r="AB63" s="174"/>
      <c r="AC63" s="172"/>
      <c r="AD63" s="442"/>
    </row>
    <row r="64" spans="1:30">
      <c r="A64" s="445"/>
      <c r="B64" s="192"/>
      <c r="C64" s="192"/>
      <c r="D64" s="192"/>
      <c r="E64" s="185"/>
      <c r="F64" s="193" t="s">
        <v>350</v>
      </c>
      <c r="G64" s="435" t="s">
        <v>11</v>
      </c>
      <c r="H64" s="435">
        <v>0.39</v>
      </c>
      <c r="I64" s="701" t="s">
        <v>353</v>
      </c>
      <c r="J64" s="706"/>
      <c r="K64" s="185"/>
      <c r="L64" s="185"/>
      <c r="M64" s="184" t="s">
        <v>0</v>
      </c>
      <c r="N64" s="435">
        <f>H64*N63</f>
        <v>960.33600000000001</v>
      </c>
      <c r="O64" s="268" t="s">
        <v>100</v>
      </c>
      <c r="P64" s="182"/>
      <c r="Q64" s="182"/>
      <c r="R64" s="527"/>
      <c r="U64" s="168"/>
      <c r="V64" s="168"/>
      <c r="W64" s="168"/>
      <c r="X64" s="720"/>
      <c r="Y64" s="720"/>
      <c r="Z64" s="720"/>
      <c r="AA64" s="720"/>
      <c r="AB64" s="720"/>
      <c r="AC64" s="172"/>
      <c r="AD64" s="442"/>
    </row>
    <row r="65" spans="1:30">
      <c r="A65" s="445"/>
      <c r="B65" s="192"/>
      <c r="C65" s="192"/>
      <c r="D65" s="192"/>
      <c r="E65" s="185"/>
      <c r="F65" s="193"/>
      <c r="G65" s="449"/>
      <c r="H65" s="449"/>
      <c r="I65" s="446"/>
      <c r="J65" s="447"/>
      <c r="K65" s="185"/>
      <c r="L65" s="185"/>
      <c r="M65" s="184"/>
      <c r="N65" s="449"/>
      <c r="O65" s="268"/>
      <c r="P65" s="182"/>
      <c r="Q65" s="182"/>
      <c r="R65" s="527"/>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27"/>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29"/>
      <c r="X67" s="463"/>
      <c r="Y67" s="464"/>
      <c r="Z67" s="464"/>
      <c r="AA67" s="464"/>
      <c r="AB67" s="464"/>
      <c r="AC67" s="465"/>
      <c r="AD67" s="466"/>
    </row>
    <row r="68" spans="1:30" s="43" customFormat="1" ht="15.75">
      <c r="A68" s="491"/>
      <c r="B68" s="699" t="s">
        <v>506</v>
      </c>
      <c r="C68" s="699"/>
      <c r="D68" s="699"/>
      <c r="E68" s="699"/>
      <c r="F68" s="699"/>
      <c r="G68" s="438"/>
      <c r="H68" s="203">
        <f>H62</f>
        <v>38</v>
      </c>
      <c r="I68" s="438" t="s">
        <v>1</v>
      </c>
      <c r="J68" s="203">
        <f>L68/0.1+1</f>
        <v>22</v>
      </c>
      <c r="K68" s="438" t="s">
        <v>1</v>
      </c>
      <c r="L68" s="186">
        <f>J7</f>
        <v>2.1</v>
      </c>
      <c r="M68" s="190" t="s">
        <v>0</v>
      </c>
      <c r="N68" s="213">
        <f t="shared" ref="N68:N69" si="3">L68*J68*H68</f>
        <v>1755.6000000000001</v>
      </c>
      <c r="O68" s="192" t="s">
        <v>13</v>
      </c>
      <c r="P68" s="454"/>
      <c r="Q68" s="454"/>
      <c r="R68" s="529"/>
      <c r="X68" s="467"/>
      <c r="Y68" s="464"/>
      <c r="Z68" s="464"/>
      <c r="AA68" s="464"/>
      <c r="AB68" s="464"/>
      <c r="AC68" s="468"/>
      <c r="AD68" s="466"/>
    </row>
    <row r="69" spans="1:30" s="43" customFormat="1" ht="15.75">
      <c r="A69" s="491"/>
      <c r="B69" s="699"/>
      <c r="C69" s="699"/>
      <c r="D69" s="699"/>
      <c r="E69" s="699"/>
      <c r="F69" s="699"/>
      <c r="G69" s="438"/>
      <c r="H69" s="203">
        <f>H68*1</f>
        <v>38</v>
      </c>
      <c r="I69" s="438" t="s">
        <v>1</v>
      </c>
      <c r="J69" s="203">
        <f>J68*1</f>
        <v>22</v>
      </c>
      <c r="K69" s="438" t="s">
        <v>1</v>
      </c>
      <c r="L69" s="186">
        <f>L68</f>
        <v>2.1</v>
      </c>
      <c r="M69" s="190" t="s">
        <v>0</v>
      </c>
      <c r="N69" s="213">
        <f t="shared" si="3"/>
        <v>1755.6000000000001</v>
      </c>
      <c r="O69" s="192" t="s">
        <v>13</v>
      </c>
      <c r="P69" s="454"/>
      <c r="Q69" s="454"/>
      <c r="R69" s="529"/>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29"/>
      <c r="X70" s="467"/>
      <c r="Y70" s="464"/>
      <c r="Z70" s="464"/>
      <c r="AA70" s="464"/>
      <c r="AB70" s="464"/>
      <c r="AC70" s="468"/>
      <c r="AD70" s="466"/>
    </row>
    <row r="71" spans="1:30" s="43" customFormat="1" ht="15.75">
      <c r="A71" s="491"/>
      <c r="B71" s="439"/>
      <c r="C71" s="439"/>
      <c r="D71" s="439"/>
      <c r="E71" s="439"/>
      <c r="F71" s="193" t="s">
        <v>350</v>
      </c>
      <c r="G71" s="435" t="s">
        <v>11</v>
      </c>
      <c r="H71" s="435">
        <v>0.89</v>
      </c>
      <c r="I71" s="701" t="s">
        <v>353</v>
      </c>
      <c r="J71" s="706"/>
      <c r="K71" s="185"/>
      <c r="L71" s="185"/>
      <c r="M71" s="184" t="s">
        <v>0</v>
      </c>
      <c r="N71" s="435">
        <f>H71*N70</f>
        <v>3124.9680000000003</v>
      </c>
      <c r="O71" s="471" t="s">
        <v>100</v>
      </c>
      <c r="P71" s="454"/>
      <c r="Q71" s="454"/>
      <c r="R71" s="529"/>
      <c r="X71" s="469"/>
      <c r="Y71" s="464"/>
      <c r="Z71" s="464"/>
      <c r="AA71" s="464"/>
      <c r="AB71" s="464"/>
      <c r="AC71" s="468"/>
      <c r="AD71" s="466"/>
    </row>
    <row r="72" spans="1:30" s="43" customFormat="1" ht="15.75">
      <c r="A72" s="491"/>
      <c r="B72" s="511"/>
      <c r="C72" s="511"/>
      <c r="D72" s="511"/>
      <c r="E72" s="511"/>
      <c r="F72" s="193"/>
      <c r="G72" s="502"/>
      <c r="H72" s="502"/>
      <c r="I72" s="511"/>
      <c r="J72" s="513"/>
      <c r="K72" s="185"/>
      <c r="L72" s="185"/>
      <c r="M72" s="184"/>
      <c r="N72" s="502"/>
      <c r="O72" s="471"/>
      <c r="P72" s="454"/>
      <c r="Q72" s="454"/>
      <c r="R72" s="529"/>
      <c r="X72" s="469"/>
      <c r="Y72" s="464"/>
      <c r="Z72" s="464"/>
      <c r="AA72" s="464"/>
      <c r="AB72" s="464"/>
      <c r="AC72" s="468"/>
      <c r="AD72" s="466"/>
    </row>
    <row r="73" spans="1:30" s="43" customFormat="1" ht="15.75">
      <c r="A73" s="491"/>
      <c r="B73" s="511"/>
      <c r="C73" s="511"/>
      <c r="D73" s="511"/>
      <c r="E73" s="511"/>
      <c r="F73" s="193"/>
      <c r="G73" s="502"/>
      <c r="H73" s="502"/>
      <c r="I73" s="511"/>
      <c r="J73" s="513"/>
      <c r="K73" s="185"/>
      <c r="L73" s="185"/>
      <c r="M73" s="184"/>
      <c r="N73" s="502"/>
      <c r="O73" s="471"/>
      <c r="P73" s="454"/>
      <c r="Q73" s="454"/>
      <c r="R73" s="529"/>
      <c r="X73" s="469"/>
      <c r="Y73" s="464"/>
      <c r="Z73" s="464"/>
      <c r="AA73" s="464"/>
      <c r="AB73" s="464"/>
      <c r="AC73" s="468"/>
      <c r="AD73" s="466"/>
    </row>
    <row r="74" spans="1:30" s="43" customFormat="1" ht="15.75">
      <c r="A74" s="491"/>
      <c r="B74" s="511"/>
      <c r="C74" s="511"/>
      <c r="D74" s="511"/>
      <c r="E74" s="511"/>
      <c r="F74" s="193"/>
      <c r="G74" s="502"/>
      <c r="H74" s="502"/>
      <c r="I74" s="511"/>
      <c r="J74" s="513"/>
      <c r="K74" s="185"/>
      <c r="L74" s="185"/>
      <c r="M74" s="184"/>
      <c r="N74" s="502"/>
      <c r="O74" s="471"/>
      <c r="P74" s="454"/>
      <c r="Q74" s="454"/>
      <c r="R74" s="529"/>
      <c r="X74" s="469"/>
      <c r="Y74" s="464"/>
      <c r="Z74" s="464"/>
      <c r="AA74" s="464"/>
      <c r="AB74" s="464"/>
      <c r="AC74" s="468"/>
      <c r="AD74" s="466"/>
    </row>
    <row r="75" spans="1:30" s="43" customFormat="1" ht="15.75">
      <c r="A75" s="491"/>
      <c r="B75" s="511"/>
      <c r="C75" s="511"/>
      <c r="D75" s="511"/>
      <c r="E75" s="511"/>
      <c r="F75" s="193"/>
      <c r="G75" s="502"/>
      <c r="H75" s="502"/>
      <c r="I75" s="511"/>
      <c r="J75" s="513"/>
      <c r="K75" s="185"/>
      <c r="L75" s="185"/>
      <c r="M75" s="184"/>
      <c r="N75" s="502"/>
      <c r="O75" s="471"/>
      <c r="P75" s="454"/>
      <c r="Q75" s="454"/>
      <c r="R75" s="529"/>
      <c r="X75" s="469"/>
      <c r="Y75" s="464"/>
      <c r="Z75" s="464"/>
      <c r="AA75" s="464"/>
      <c r="AB75" s="464"/>
      <c r="AC75" s="468"/>
      <c r="AD75" s="466"/>
    </row>
    <row r="76" spans="1:30" s="43" customFormat="1" ht="15.75">
      <c r="A76" s="491"/>
      <c r="B76" s="511"/>
      <c r="C76" s="511"/>
      <c r="D76" s="511"/>
      <c r="E76" s="511"/>
      <c r="F76" s="193"/>
      <c r="G76" s="502"/>
      <c r="H76" s="502"/>
      <c r="I76" s="511"/>
      <c r="J76" s="513"/>
      <c r="K76" s="185"/>
      <c r="L76" s="185"/>
      <c r="M76" s="184"/>
      <c r="N76" s="502"/>
      <c r="O76" s="471"/>
      <c r="P76" s="454"/>
      <c r="Q76" s="454"/>
      <c r="R76" s="529"/>
      <c r="X76" s="469"/>
      <c r="Y76" s="464"/>
      <c r="Z76" s="464"/>
      <c r="AA76" s="464"/>
      <c r="AB76" s="464"/>
      <c r="AC76" s="468"/>
      <c r="AD76" s="466"/>
    </row>
    <row r="77" spans="1:30" s="43" customFormat="1" ht="15.75">
      <c r="A77" s="491"/>
      <c r="B77" s="511"/>
      <c r="C77" s="511"/>
      <c r="D77" s="511"/>
      <c r="E77" s="511"/>
      <c r="F77" s="193"/>
      <c r="G77" s="502"/>
      <c r="H77" s="502"/>
      <c r="I77" s="511"/>
      <c r="J77" s="513"/>
      <c r="K77" s="185"/>
      <c r="L77" s="185"/>
      <c r="M77" s="184"/>
      <c r="N77" s="502"/>
      <c r="O77" s="471"/>
      <c r="P77" s="454"/>
      <c r="Q77" s="454"/>
      <c r="R77" s="529"/>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29"/>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718" t="s">
        <v>507</v>
      </c>
      <c r="C81" s="718"/>
      <c r="D81" s="718"/>
      <c r="E81" s="718"/>
      <c r="F81" s="718"/>
      <c r="G81" s="718"/>
      <c r="H81" s="718"/>
      <c r="I81" s="439"/>
      <c r="J81" s="440"/>
      <c r="K81" s="185"/>
      <c r="L81" s="185"/>
      <c r="M81" s="184"/>
      <c r="N81" s="435"/>
      <c r="O81" s="268"/>
      <c r="P81" s="182"/>
      <c r="Q81" s="182"/>
      <c r="R81" s="527"/>
      <c r="U81" s="168"/>
      <c r="V81" s="168"/>
      <c r="W81" s="168"/>
      <c r="X81" s="172"/>
      <c r="Y81" s="442"/>
      <c r="Z81" s="442"/>
      <c r="AA81" s="442"/>
      <c r="AB81" s="174"/>
      <c r="AC81" s="172"/>
      <c r="AD81" s="176"/>
    </row>
    <row r="82" spans="1:30" ht="13.5" customHeight="1">
      <c r="A82" s="445"/>
      <c r="B82" s="710" t="s">
        <v>384</v>
      </c>
      <c r="C82" s="710"/>
      <c r="D82" s="710"/>
      <c r="E82" s="710"/>
      <c r="F82" s="710"/>
      <c r="G82" s="435"/>
      <c r="H82" s="435"/>
      <c r="I82" s="439"/>
      <c r="J82" s="440"/>
      <c r="K82" s="185"/>
      <c r="L82" s="185"/>
      <c r="M82" s="184"/>
      <c r="N82" s="435"/>
      <c r="O82" s="268"/>
      <c r="P82" s="182"/>
      <c r="Q82" s="182"/>
      <c r="R82" s="527"/>
      <c r="X82" s="173"/>
      <c r="Y82" s="177"/>
      <c r="Z82" s="177"/>
      <c r="AA82" s="177"/>
      <c r="AB82" s="177"/>
      <c r="AC82" s="172"/>
      <c r="AD82" s="442"/>
    </row>
    <row r="83" spans="1:30" ht="13.5" customHeight="1">
      <c r="A83" s="445"/>
      <c r="B83" s="710" t="s">
        <v>387</v>
      </c>
      <c r="C83" s="710"/>
      <c r="D83" s="710"/>
      <c r="E83" s="710"/>
      <c r="F83" s="710"/>
      <c r="G83" s="435"/>
      <c r="H83" s="203">
        <v>1</v>
      </c>
      <c r="I83" s="438" t="s">
        <v>1</v>
      </c>
      <c r="J83" s="203">
        <v>5</v>
      </c>
      <c r="K83" s="438" t="s">
        <v>1</v>
      </c>
      <c r="L83" s="186">
        <f>H21</f>
        <v>214.3</v>
      </c>
      <c r="M83" s="190" t="s">
        <v>0</v>
      </c>
      <c r="N83" s="213">
        <f t="shared" ref="N83:N85" si="4">L83*J83*H83</f>
        <v>1071.5</v>
      </c>
      <c r="O83" s="294" t="s">
        <v>13</v>
      </c>
      <c r="P83" s="182"/>
      <c r="Q83" s="182"/>
      <c r="R83" s="527"/>
      <c r="X83" s="173"/>
      <c r="Y83" s="177"/>
      <c r="Z83" s="177"/>
      <c r="AA83" s="177"/>
      <c r="AB83" s="177"/>
      <c r="AC83" s="172"/>
      <c r="AD83" s="442"/>
    </row>
    <row r="84" spans="1:30" ht="13.5" customHeight="1">
      <c r="A84" s="445"/>
      <c r="B84" s="710" t="s">
        <v>388</v>
      </c>
      <c r="C84" s="710"/>
      <c r="D84" s="710"/>
      <c r="E84" s="710"/>
      <c r="F84" s="710"/>
      <c r="G84" s="435"/>
      <c r="H84" s="203">
        <v>1</v>
      </c>
      <c r="I84" s="438" t="s">
        <v>1</v>
      </c>
      <c r="J84" s="203">
        <v>2</v>
      </c>
      <c r="K84" s="438" t="s">
        <v>1</v>
      </c>
      <c r="L84" s="186">
        <f>L83</f>
        <v>214.3</v>
      </c>
      <c r="M84" s="190" t="s">
        <v>0</v>
      </c>
      <c r="N84" s="213">
        <f t="shared" si="4"/>
        <v>428.6</v>
      </c>
      <c r="O84" s="294" t="s">
        <v>13</v>
      </c>
      <c r="P84" s="182"/>
      <c r="Q84" s="182"/>
      <c r="R84" s="527"/>
      <c r="X84" s="173"/>
      <c r="Y84" s="177"/>
      <c r="Z84" s="177"/>
      <c r="AA84" s="177"/>
      <c r="AB84" s="177"/>
      <c r="AC84" s="172"/>
      <c r="AD84" s="442"/>
    </row>
    <row r="85" spans="1:30" ht="13.5" customHeight="1">
      <c r="A85" s="445"/>
      <c r="B85" s="710" t="s">
        <v>389</v>
      </c>
      <c r="C85" s="710"/>
      <c r="D85" s="710"/>
      <c r="E85" s="710"/>
      <c r="F85" s="710"/>
      <c r="G85" s="435"/>
      <c r="H85" s="203">
        <v>1</v>
      </c>
      <c r="I85" s="438" t="s">
        <v>1</v>
      </c>
      <c r="J85" s="203">
        <v>2</v>
      </c>
      <c r="K85" s="438" t="s">
        <v>1</v>
      </c>
      <c r="L85" s="186">
        <f>L84/4</f>
        <v>53.575000000000003</v>
      </c>
      <c r="M85" s="190" t="s">
        <v>0</v>
      </c>
      <c r="N85" s="213">
        <f t="shared" si="4"/>
        <v>107.15</v>
      </c>
      <c r="O85" s="294" t="s">
        <v>13</v>
      </c>
      <c r="P85" s="182"/>
      <c r="Q85" s="182"/>
      <c r="R85" s="527"/>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27"/>
      <c r="X86" s="173"/>
      <c r="Y86" s="177"/>
      <c r="Z86" s="177"/>
      <c r="AA86" s="177"/>
      <c r="AB86" s="177"/>
      <c r="AC86" s="172"/>
      <c r="AD86" s="442"/>
    </row>
    <row r="87" spans="1:30">
      <c r="A87" s="445"/>
      <c r="B87" s="192"/>
      <c r="C87" s="192"/>
      <c r="D87" s="192"/>
      <c r="E87" s="185"/>
      <c r="F87" s="193" t="s">
        <v>350</v>
      </c>
      <c r="G87" s="435" t="s">
        <v>11</v>
      </c>
      <c r="H87" s="435">
        <v>1.58</v>
      </c>
      <c r="I87" s="701" t="s">
        <v>353</v>
      </c>
      <c r="J87" s="706"/>
      <c r="K87" s="185"/>
      <c r="L87" s="185"/>
      <c r="M87" s="184" t="s">
        <v>0</v>
      </c>
      <c r="N87" s="435">
        <f>H87*N86</f>
        <v>2539.4549999999999</v>
      </c>
      <c r="O87" s="268" t="s">
        <v>100</v>
      </c>
      <c r="P87" s="182"/>
      <c r="Q87" s="182"/>
      <c r="R87" s="527"/>
      <c r="X87" s="173"/>
      <c r="Y87" s="177"/>
      <c r="Z87" s="177"/>
      <c r="AA87" s="177"/>
      <c r="AB87" s="177"/>
      <c r="AC87" s="172"/>
      <c r="AD87" s="442"/>
    </row>
    <row r="88" spans="1:30">
      <c r="A88" s="515"/>
      <c r="B88" s="192"/>
      <c r="C88" s="192"/>
      <c r="D88" s="192"/>
      <c r="E88" s="185"/>
      <c r="F88" s="193"/>
      <c r="G88" s="502"/>
      <c r="H88" s="502"/>
      <c r="I88" s="511"/>
      <c r="J88" s="513"/>
      <c r="K88" s="185"/>
      <c r="L88" s="185"/>
      <c r="M88" s="184"/>
      <c r="N88" s="502"/>
      <c r="O88" s="268"/>
      <c r="P88" s="182"/>
      <c r="Q88" s="182"/>
      <c r="R88" s="527"/>
      <c r="X88" s="173"/>
      <c r="Y88" s="177"/>
      <c r="Z88" s="177"/>
      <c r="AA88" s="177"/>
      <c r="AB88" s="177"/>
      <c r="AC88" s="172"/>
      <c r="AD88" s="514"/>
    </row>
    <row r="89" spans="1:30" ht="33" customHeight="1">
      <c r="A89" s="445"/>
      <c r="B89" s="710" t="s">
        <v>385</v>
      </c>
      <c r="C89" s="710"/>
      <c r="D89" s="710"/>
      <c r="E89" s="710"/>
      <c r="F89" s="710"/>
      <c r="G89" s="710"/>
      <c r="H89" s="203">
        <v>1</v>
      </c>
      <c r="I89" s="438" t="s">
        <v>1</v>
      </c>
      <c r="J89" s="203">
        <f>L83/0.1+1</f>
        <v>2144</v>
      </c>
      <c r="K89" s="438" t="s">
        <v>1</v>
      </c>
      <c r="L89" s="186">
        <v>1.2</v>
      </c>
      <c r="M89" s="190" t="s">
        <v>0</v>
      </c>
      <c r="N89" s="213">
        <f>L89*J89*H89</f>
        <v>2572.7999999999997</v>
      </c>
      <c r="O89" s="436" t="s">
        <v>13</v>
      </c>
      <c r="P89" s="182"/>
      <c r="Q89" s="182"/>
      <c r="R89" s="527"/>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27"/>
      <c r="X90" s="173"/>
      <c r="Y90" s="177"/>
      <c r="Z90" s="177"/>
      <c r="AA90" s="177"/>
      <c r="AB90" s="177"/>
      <c r="AC90" s="172"/>
      <c r="AD90" s="442"/>
    </row>
    <row r="91" spans="1:30">
      <c r="A91" s="445"/>
      <c r="B91" s="192"/>
      <c r="C91" s="192"/>
      <c r="D91" s="192"/>
      <c r="E91" s="185"/>
      <c r="F91" s="193" t="s">
        <v>350</v>
      </c>
      <c r="G91" s="435" t="s">
        <v>11</v>
      </c>
      <c r="H91" s="435">
        <v>0.39</v>
      </c>
      <c r="I91" s="701" t="s">
        <v>353</v>
      </c>
      <c r="J91" s="706"/>
      <c r="K91" s="185"/>
      <c r="L91" s="185"/>
      <c r="M91" s="184" t="s">
        <v>0</v>
      </c>
      <c r="N91" s="435">
        <f>H91*N90</f>
        <v>1003.3919999999999</v>
      </c>
      <c r="O91" s="268" t="s">
        <v>100</v>
      </c>
      <c r="P91" s="182"/>
      <c r="Q91" s="182"/>
      <c r="R91" s="527"/>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27"/>
      <c r="X92" s="173"/>
      <c r="Y92" s="177"/>
      <c r="Z92" s="177"/>
      <c r="AA92" s="177"/>
      <c r="AB92" s="177"/>
      <c r="AC92" s="172"/>
      <c r="AD92" s="442"/>
    </row>
    <row r="93" spans="1:30">
      <c r="A93" s="445"/>
      <c r="B93" s="718" t="s">
        <v>515</v>
      </c>
      <c r="C93" s="718"/>
      <c r="D93" s="718"/>
      <c r="E93" s="718"/>
      <c r="F93" s="718"/>
      <c r="G93" s="718"/>
      <c r="H93" s="718"/>
      <c r="I93" s="340"/>
      <c r="J93" s="341"/>
      <c r="K93" s="185"/>
      <c r="L93" s="185"/>
      <c r="M93" s="184"/>
      <c r="N93" s="344"/>
      <c r="O93" s="268"/>
      <c r="P93" s="182"/>
      <c r="Q93" s="182"/>
      <c r="R93" s="527"/>
      <c r="U93" s="168"/>
      <c r="V93" s="168"/>
      <c r="W93" s="168"/>
      <c r="X93" s="172"/>
      <c r="Y93" s="349"/>
      <c r="Z93" s="349"/>
      <c r="AA93" s="349"/>
      <c r="AB93" s="174"/>
      <c r="AC93" s="172"/>
      <c r="AD93" s="176"/>
    </row>
    <row r="94" spans="1:30" ht="15" customHeight="1">
      <c r="A94" s="515"/>
      <c r="B94" s="713" t="s">
        <v>516</v>
      </c>
      <c r="C94" s="714"/>
      <c r="D94" s="714"/>
      <c r="E94" s="714"/>
      <c r="F94" s="714"/>
      <c r="G94" s="714"/>
      <c r="H94" s="714"/>
      <c r="I94" s="714"/>
      <c r="J94" s="714"/>
      <c r="K94" s="185"/>
      <c r="L94" s="185"/>
      <c r="M94" s="184"/>
      <c r="N94" s="435"/>
      <c r="O94" s="268"/>
      <c r="P94" s="182"/>
      <c r="Q94" s="182"/>
      <c r="R94" s="527"/>
      <c r="U94" s="168"/>
      <c r="V94" s="168"/>
      <c r="W94" s="168"/>
      <c r="X94" s="172"/>
      <c r="Y94" s="442"/>
      <c r="Z94" s="442"/>
      <c r="AA94" s="442"/>
      <c r="AB94" s="174"/>
      <c r="AC94" s="172"/>
      <c r="AD94" s="176"/>
    </row>
    <row r="95" spans="1:30" ht="15" customHeight="1">
      <c r="A95" s="445"/>
      <c r="B95" s="710" t="s">
        <v>384</v>
      </c>
      <c r="C95" s="710"/>
      <c r="D95" s="710"/>
      <c r="E95" s="710"/>
      <c r="F95" s="710"/>
      <c r="G95" s="344"/>
      <c r="H95" s="344"/>
      <c r="I95" s="340"/>
      <c r="J95" s="341"/>
      <c r="K95" s="185"/>
      <c r="L95" s="185"/>
      <c r="M95" s="184"/>
      <c r="N95" s="344"/>
      <c r="O95" s="268"/>
      <c r="P95" s="182"/>
      <c r="Q95" s="182"/>
      <c r="R95" s="527"/>
      <c r="X95" s="173"/>
      <c r="Y95" s="177"/>
      <c r="Z95" s="177"/>
      <c r="AA95" s="177"/>
      <c r="AB95" s="177"/>
      <c r="AC95" s="172"/>
      <c r="AD95" s="349"/>
    </row>
    <row r="96" spans="1:30" ht="15" customHeight="1">
      <c r="A96" s="445"/>
      <c r="B96" s="710" t="s">
        <v>387</v>
      </c>
      <c r="C96" s="710"/>
      <c r="D96" s="710"/>
      <c r="E96" s="710"/>
      <c r="F96" s="710"/>
      <c r="G96" s="344"/>
      <c r="H96" s="203">
        <v>1</v>
      </c>
      <c r="I96" s="342" t="s">
        <v>1</v>
      </c>
      <c r="J96" s="203">
        <v>4</v>
      </c>
      <c r="K96" s="342" t="s">
        <v>1</v>
      </c>
      <c r="L96" s="186">
        <v>195.2</v>
      </c>
      <c r="M96" s="190" t="s">
        <v>0</v>
      </c>
      <c r="N96" s="213">
        <f t="shared" ref="N96:N98" si="5">L96*J96*H96</f>
        <v>780.8</v>
      </c>
      <c r="O96" s="294" t="s">
        <v>13</v>
      </c>
      <c r="P96" s="182"/>
      <c r="Q96" s="182"/>
      <c r="R96" s="527"/>
      <c r="X96" s="173"/>
      <c r="Y96" s="177"/>
      <c r="Z96" s="177"/>
      <c r="AA96" s="177"/>
      <c r="AB96" s="177"/>
      <c r="AC96" s="172"/>
      <c r="AD96" s="349"/>
    </row>
    <row r="97" spans="1:30" ht="15" customHeight="1">
      <c r="A97" s="445"/>
      <c r="B97" s="710" t="s">
        <v>388</v>
      </c>
      <c r="C97" s="710"/>
      <c r="D97" s="710"/>
      <c r="E97" s="710"/>
      <c r="F97" s="710"/>
      <c r="G97" s="344"/>
      <c r="H97" s="203">
        <v>1</v>
      </c>
      <c r="I97" s="342" t="s">
        <v>1</v>
      </c>
      <c r="J97" s="203">
        <v>2</v>
      </c>
      <c r="K97" s="342" t="s">
        <v>1</v>
      </c>
      <c r="L97" s="186">
        <f>L96</f>
        <v>195.2</v>
      </c>
      <c r="M97" s="190" t="s">
        <v>0</v>
      </c>
      <c r="N97" s="213">
        <f t="shared" si="5"/>
        <v>390.4</v>
      </c>
      <c r="O97" s="294" t="s">
        <v>13</v>
      </c>
      <c r="P97" s="182"/>
      <c r="Q97" s="182"/>
      <c r="R97" s="527"/>
      <c r="X97" s="173"/>
      <c r="Y97" s="177"/>
      <c r="Z97" s="177"/>
      <c r="AA97" s="177"/>
      <c r="AB97" s="177"/>
      <c r="AC97" s="172"/>
      <c r="AD97" s="349"/>
    </row>
    <row r="98" spans="1:30" ht="15" customHeight="1">
      <c r="A98" s="445"/>
      <c r="B98" s="710" t="s">
        <v>389</v>
      </c>
      <c r="C98" s="710"/>
      <c r="D98" s="710"/>
      <c r="E98" s="710"/>
      <c r="F98" s="710"/>
      <c r="G98" s="344"/>
      <c r="H98" s="203">
        <v>1</v>
      </c>
      <c r="I98" s="342" t="s">
        <v>1</v>
      </c>
      <c r="J98" s="203">
        <v>2</v>
      </c>
      <c r="K98" s="342" t="s">
        <v>1</v>
      </c>
      <c r="L98" s="186">
        <f>L97/4</f>
        <v>48.8</v>
      </c>
      <c r="M98" s="190" t="s">
        <v>0</v>
      </c>
      <c r="N98" s="213">
        <f t="shared" si="5"/>
        <v>97.6</v>
      </c>
      <c r="O98" s="294" t="s">
        <v>13</v>
      </c>
      <c r="P98" s="182"/>
      <c r="Q98" s="182"/>
      <c r="R98" s="527"/>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27"/>
      <c r="X99" s="173"/>
      <c r="Y99" s="177"/>
      <c r="Z99" s="177"/>
      <c r="AA99" s="177"/>
      <c r="AB99" s="177"/>
      <c r="AC99" s="172"/>
      <c r="AD99" s="349"/>
    </row>
    <row r="100" spans="1:30" ht="15" customHeight="1">
      <c r="A100" s="445"/>
      <c r="B100" s="192"/>
      <c r="C100" s="192"/>
      <c r="D100" s="192"/>
      <c r="E100" s="185"/>
      <c r="F100" s="193" t="s">
        <v>350</v>
      </c>
      <c r="G100" s="344" t="s">
        <v>11</v>
      </c>
      <c r="H100" s="344">
        <v>1.58</v>
      </c>
      <c r="I100" s="701" t="s">
        <v>353</v>
      </c>
      <c r="J100" s="706"/>
      <c r="K100" s="185"/>
      <c r="L100" s="185"/>
      <c r="M100" s="184" t="s">
        <v>0</v>
      </c>
      <c r="N100" s="344">
        <f>H100*N99</f>
        <v>2004.7039999999997</v>
      </c>
      <c r="O100" s="268" t="s">
        <v>100</v>
      </c>
      <c r="P100" s="182"/>
      <c r="Q100" s="182"/>
      <c r="R100" s="527"/>
      <c r="X100" s="173"/>
      <c r="Y100" s="177"/>
      <c r="Z100" s="177"/>
      <c r="AA100" s="177"/>
      <c r="AB100" s="177"/>
      <c r="AC100" s="172"/>
      <c r="AD100" s="349"/>
    </row>
    <row r="101" spans="1:30" s="361" customFormat="1" ht="33" customHeight="1">
      <c r="A101" s="492"/>
      <c r="B101" s="717" t="s">
        <v>385</v>
      </c>
      <c r="C101" s="717"/>
      <c r="D101" s="717"/>
      <c r="E101" s="717"/>
      <c r="F101" s="717"/>
      <c r="G101" s="717"/>
      <c r="H101" s="203">
        <v>2</v>
      </c>
      <c r="I101" s="342" t="s">
        <v>1</v>
      </c>
      <c r="J101" s="203">
        <f>L96/0.1+1</f>
        <v>1952.9999999999998</v>
      </c>
      <c r="K101" s="342" t="s">
        <v>1</v>
      </c>
      <c r="L101" s="186">
        <v>1.5</v>
      </c>
      <c r="M101" s="190" t="s">
        <v>0</v>
      </c>
      <c r="N101" s="191">
        <f>L101*J101*H101</f>
        <v>5858.9999999999991</v>
      </c>
      <c r="O101" s="343" t="s">
        <v>13</v>
      </c>
      <c r="P101" s="211"/>
      <c r="Q101" s="211"/>
      <c r="R101" s="512"/>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27"/>
      <c r="X102" s="173"/>
      <c r="Y102" s="177"/>
      <c r="Z102" s="177"/>
      <c r="AA102" s="177"/>
      <c r="AB102" s="177"/>
      <c r="AC102" s="172"/>
      <c r="AD102" s="349"/>
    </row>
    <row r="103" spans="1:30">
      <c r="A103" s="445"/>
      <c r="B103" s="192"/>
      <c r="C103" s="192"/>
      <c r="D103" s="192"/>
      <c r="E103" s="185"/>
      <c r="F103" s="193" t="s">
        <v>350</v>
      </c>
      <c r="G103" s="344" t="s">
        <v>11</v>
      </c>
      <c r="H103" s="344">
        <v>0.39</v>
      </c>
      <c r="I103" s="701" t="s">
        <v>353</v>
      </c>
      <c r="J103" s="706"/>
      <c r="K103" s="185"/>
      <c r="L103" s="185"/>
      <c r="M103" s="184" t="s">
        <v>0</v>
      </c>
      <c r="N103" s="344">
        <f>H103*N102</f>
        <v>2285.0099999999998</v>
      </c>
      <c r="O103" s="268" t="s">
        <v>100</v>
      </c>
      <c r="P103" s="182"/>
      <c r="Q103" s="182"/>
      <c r="R103" s="527"/>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27"/>
      <c r="X104" s="173"/>
      <c r="Y104" s="177"/>
      <c r="Z104" s="177"/>
      <c r="AA104" s="177"/>
      <c r="AB104" s="177"/>
      <c r="AC104" s="172"/>
      <c r="AD104" s="349"/>
    </row>
    <row r="105" spans="1:30" ht="14.25" customHeight="1">
      <c r="A105" s="445"/>
      <c r="B105" s="715" t="s">
        <v>517</v>
      </c>
      <c r="C105" s="715"/>
      <c r="D105" s="715"/>
      <c r="E105" s="715"/>
      <c r="F105" s="715"/>
      <c r="G105" s="715"/>
      <c r="H105" s="715"/>
      <c r="I105" s="439"/>
      <c r="J105" s="440"/>
      <c r="K105" s="185"/>
      <c r="L105" s="185"/>
      <c r="M105" s="184"/>
      <c r="N105" s="435"/>
      <c r="O105" s="268"/>
      <c r="P105" s="182"/>
      <c r="Q105" s="182"/>
      <c r="R105" s="527"/>
      <c r="U105" s="168"/>
      <c r="V105" s="168"/>
      <c r="W105" s="168"/>
      <c r="X105" s="172"/>
      <c r="Y105" s="442"/>
      <c r="Z105" s="442"/>
      <c r="AA105" s="442"/>
      <c r="AB105" s="174"/>
      <c r="AC105" s="172"/>
      <c r="AD105" s="176"/>
    </row>
    <row r="106" spans="1:30" ht="14.25" customHeight="1">
      <c r="A106" s="445"/>
      <c r="B106" s="710" t="s">
        <v>534</v>
      </c>
      <c r="C106" s="710"/>
      <c r="D106" s="710"/>
      <c r="E106" s="710"/>
      <c r="F106" s="710"/>
      <c r="G106" s="435"/>
      <c r="H106" s="435"/>
      <c r="I106" s="439"/>
      <c r="J106" s="440"/>
      <c r="K106" s="185"/>
      <c r="L106" s="185"/>
      <c r="M106" s="184"/>
      <c r="N106" s="435"/>
      <c r="O106" s="268"/>
      <c r="P106" s="182"/>
      <c r="Q106" s="182"/>
      <c r="R106" s="527"/>
      <c r="X106" s="173"/>
      <c r="Y106" s="177"/>
      <c r="Z106" s="177"/>
      <c r="AA106" s="177"/>
      <c r="AB106" s="177"/>
      <c r="AC106" s="172"/>
      <c r="AD106" s="442"/>
    </row>
    <row r="107" spans="1:30" ht="14.25" customHeight="1">
      <c r="A107" s="445"/>
      <c r="B107" s="710" t="s">
        <v>387</v>
      </c>
      <c r="C107" s="710"/>
      <c r="D107" s="710"/>
      <c r="E107" s="710"/>
      <c r="F107" s="710"/>
      <c r="G107" s="435"/>
      <c r="H107" s="203">
        <v>1</v>
      </c>
      <c r="I107" s="438" t="s">
        <v>1</v>
      </c>
      <c r="J107" s="203">
        <v>3</v>
      </c>
      <c r="K107" s="438" t="s">
        <v>1</v>
      </c>
      <c r="L107" s="186">
        <v>43.5</v>
      </c>
      <c r="M107" s="190" t="s">
        <v>0</v>
      </c>
      <c r="N107" s="213">
        <f t="shared" ref="N107:N109" si="6">L107*J107*H107</f>
        <v>130.5</v>
      </c>
      <c r="O107" s="294" t="s">
        <v>13</v>
      </c>
      <c r="P107" s="182"/>
      <c r="Q107" s="182"/>
      <c r="R107" s="527"/>
      <c r="X107" s="173"/>
      <c r="Y107" s="177"/>
      <c r="Z107" s="177"/>
      <c r="AA107" s="177"/>
      <c r="AB107" s="177"/>
      <c r="AC107" s="172"/>
      <c r="AD107" s="442"/>
    </row>
    <row r="108" spans="1:30" ht="14.25" customHeight="1">
      <c r="A108" s="445"/>
      <c r="B108" s="710" t="s">
        <v>388</v>
      </c>
      <c r="C108" s="710"/>
      <c r="D108" s="710"/>
      <c r="E108" s="710"/>
      <c r="F108" s="710"/>
      <c r="G108" s="435"/>
      <c r="H108" s="203">
        <v>1</v>
      </c>
      <c r="I108" s="438" t="s">
        <v>1</v>
      </c>
      <c r="J108" s="203">
        <v>2</v>
      </c>
      <c r="K108" s="438" t="s">
        <v>1</v>
      </c>
      <c r="L108" s="186">
        <f>L107/4</f>
        <v>10.875</v>
      </c>
      <c r="M108" s="190" t="s">
        <v>0</v>
      </c>
      <c r="N108" s="213">
        <f t="shared" si="6"/>
        <v>21.75</v>
      </c>
      <c r="O108" s="294" t="s">
        <v>13</v>
      </c>
      <c r="P108" s="182"/>
      <c r="Q108" s="182"/>
      <c r="R108" s="527"/>
      <c r="X108" s="173"/>
      <c r="Y108" s="177"/>
      <c r="Z108" s="177"/>
      <c r="AA108" s="177"/>
      <c r="AB108" s="177"/>
      <c r="AC108" s="172"/>
      <c r="AD108" s="442"/>
    </row>
    <row r="109" spans="1:30" ht="14.25" customHeight="1">
      <c r="A109" s="445"/>
      <c r="B109" s="710" t="s">
        <v>389</v>
      </c>
      <c r="C109" s="710"/>
      <c r="D109" s="710"/>
      <c r="E109" s="710"/>
      <c r="F109" s="710"/>
      <c r="G109" s="435"/>
      <c r="H109" s="203">
        <v>1</v>
      </c>
      <c r="I109" s="438" t="s">
        <v>1</v>
      </c>
      <c r="J109" s="203">
        <v>2</v>
      </c>
      <c r="K109" s="438" t="s">
        <v>1</v>
      </c>
      <c r="L109" s="186">
        <f>L108/4</f>
        <v>2.71875</v>
      </c>
      <c r="M109" s="190" t="s">
        <v>0</v>
      </c>
      <c r="N109" s="213">
        <f t="shared" si="6"/>
        <v>5.4375</v>
      </c>
      <c r="O109" s="294" t="s">
        <v>13</v>
      </c>
      <c r="P109" s="182"/>
      <c r="Q109" s="182"/>
      <c r="R109" s="527"/>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27"/>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701" t="s">
        <v>353</v>
      </c>
      <c r="J111" s="706"/>
      <c r="K111" s="185"/>
      <c r="L111" s="185"/>
      <c r="M111" s="184" t="s">
        <v>0</v>
      </c>
      <c r="N111" s="435">
        <f>H111*N110</f>
        <v>607.09687500000007</v>
      </c>
      <c r="O111" s="268" t="s">
        <v>100</v>
      </c>
      <c r="P111" s="182"/>
      <c r="Q111" s="182"/>
      <c r="R111" s="527"/>
      <c r="X111" s="173"/>
      <c r="Y111" s="177"/>
      <c r="Z111" s="177"/>
      <c r="AA111" s="177"/>
      <c r="AB111" s="177"/>
      <c r="AC111" s="172"/>
      <c r="AD111" s="442"/>
    </row>
    <row r="112" spans="1:30" ht="14.25" customHeight="1">
      <c r="A112" s="515"/>
      <c r="B112" s="710" t="s">
        <v>445</v>
      </c>
      <c r="C112" s="710"/>
      <c r="D112" s="710"/>
      <c r="E112" s="710"/>
      <c r="F112" s="710"/>
      <c r="G112" s="502"/>
      <c r="H112" s="502"/>
      <c r="I112" s="511"/>
      <c r="J112" s="513"/>
      <c r="K112" s="185"/>
      <c r="L112" s="185"/>
      <c r="M112" s="184"/>
      <c r="N112" s="502"/>
      <c r="O112" s="268"/>
      <c r="P112" s="182"/>
      <c r="Q112" s="182"/>
      <c r="R112" s="527"/>
      <c r="X112" s="173"/>
      <c r="Y112" s="177"/>
      <c r="Z112" s="177"/>
      <c r="AA112" s="177"/>
      <c r="AB112" s="177"/>
      <c r="AC112" s="172"/>
      <c r="AD112" s="514"/>
    </row>
    <row r="113" spans="1:30" ht="14.25" customHeight="1">
      <c r="A113" s="515"/>
      <c r="B113" s="710" t="s">
        <v>387</v>
      </c>
      <c r="C113" s="710"/>
      <c r="D113" s="710"/>
      <c r="E113" s="710"/>
      <c r="F113" s="710"/>
      <c r="G113" s="502"/>
      <c r="H113" s="203">
        <v>1</v>
      </c>
      <c r="I113" s="510" t="s">
        <v>1</v>
      </c>
      <c r="J113" s="203">
        <v>5</v>
      </c>
      <c r="K113" s="510" t="s">
        <v>1</v>
      </c>
      <c r="L113" s="186">
        <v>43.5</v>
      </c>
      <c r="M113" s="190" t="s">
        <v>0</v>
      </c>
      <c r="N113" s="213">
        <f t="shared" ref="N113:N115" si="7">L113*J113*H113</f>
        <v>217.5</v>
      </c>
      <c r="O113" s="294" t="s">
        <v>13</v>
      </c>
      <c r="P113" s="182"/>
      <c r="Q113" s="182"/>
      <c r="R113" s="527"/>
      <c r="X113" s="173"/>
      <c r="Y113" s="177"/>
      <c r="Z113" s="177"/>
      <c r="AA113" s="177"/>
      <c r="AB113" s="177"/>
      <c r="AC113" s="172"/>
      <c r="AD113" s="514"/>
    </row>
    <row r="114" spans="1:30" ht="14.25" customHeight="1">
      <c r="A114" s="515"/>
      <c r="B114" s="710" t="s">
        <v>388</v>
      </c>
      <c r="C114" s="710"/>
      <c r="D114" s="710"/>
      <c r="E114" s="710"/>
      <c r="F114" s="710"/>
      <c r="G114" s="502"/>
      <c r="H114" s="203">
        <v>1</v>
      </c>
      <c r="I114" s="510" t="s">
        <v>1</v>
      </c>
      <c r="J114" s="203">
        <v>2</v>
      </c>
      <c r="K114" s="510" t="s">
        <v>1</v>
      </c>
      <c r="L114" s="186">
        <f>L113/4</f>
        <v>10.875</v>
      </c>
      <c r="M114" s="190" t="s">
        <v>0</v>
      </c>
      <c r="N114" s="213">
        <f t="shared" si="7"/>
        <v>21.75</v>
      </c>
      <c r="O114" s="294" t="s">
        <v>13</v>
      </c>
      <c r="P114" s="182"/>
      <c r="Q114" s="182"/>
      <c r="R114" s="527"/>
      <c r="X114" s="173"/>
      <c r="Y114" s="177"/>
      <c r="Z114" s="177"/>
      <c r="AA114" s="177"/>
      <c r="AB114" s="177"/>
      <c r="AC114" s="172"/>
      <c r="AD114" s="514"/>
    </row>
    <row r="115" spans="1:30" ht="14.25" customHeight="1">
      <c r="A115" s="515"/>
      <c r="B115" s="710" t="s">
        <v>389</v>
      </c>
      <c r="C115" s="710"/>
      <c r="D115" s="710"/>
      <c r="E115" s="710"/>
      <c r="F115" s="710"/>
      <c r="G115" s="502"/>
      <c r="H115" s="203">
        <v>1</v>
      </c>
      <c r="I115" s="510" t="s">
        <v>1</v>
      </c>
      <c r="J115" s="203">
        <v>2</v>
      </c>
      <c r="K115" s="510" t="s">
        <v>1</v>
      </c>
      <c r="L115" s="186">
        <f>L114/4</f>
        <v>2.71875</v>
      </c>
      <c r="M115" s="190" t="s">
        <v>0</v>
      </c>
      <c r="N115" s="213">
        <f t="shared" si="7"/>
        <v>5.4375</v>
      </c>
      <c r="O115" s="294" t="s">
        <v>13</v>
      </c>
      <c r="P115" s="182"/>
      <c r="Q115" s="182"/>
      <c r="R115" s="527"/>
      <c r="X115" s="173"/>
      <c r="Y115" s="177"/>
      <c r="Z115" s="177"/>
      <c r="AA115" s="177"/>
      <c r="AB115" s="177"/>
      <c r="AC115" s="172"/>
      <c r="AD115" s="514"/>
    </row>
    <row r="116" spans="1:30" ht="14.25" customHeight="1">
      <c r="A116" s="515"/>
      <c r="B116" s="211"/>
      <c r="C116" s="212"/>
      <c r="D116" s="185"/>
      <c r="E116" s="185"/>
      <c r="F116" s="510"/>
      <c r="G116" s="510"/>
      <c r="H116" s="203"/>
      <c r="I116" s="510"/>
      <c r="J116" s="186"/>
      <c r="K116" s="184"/>
      <c r="L116" s="186" t="s">
        <v>8</v>
      </c>
      <c r="M116" s="190" t="s">
        <v>0</v>
      </c>
      <c r="N116" s="214">
        <f>SUM(N113:N115)</f>
        <v>244.6875</v>
      </c>
      <c r="O116" s="280" t="s">
        <v>13</v>
      </c>
      <c r="P116" s="182"/>
      <c r="Q116" s="182"/>
      <c r="R116" s="527"/>
      <c r="X116" s="173"/>
      <c r="Y116" s="177"/>
      <c r="Z116" s="177"/>
      <c r="AA116" s="177"/>
      <c r="AB116" s="177"/>
      <c r="AC116" s="172"/>
      <c r="AD116" s="514"/>
    </row>
    <row r="117" spans="1:30" ht="14.25" customHeight="1">
      <c r="A117" s="515"/>
      <c r="B117" s="192"/>
      <c r="C117" s="192"/>
      <c r="D117" s="192"/>
      <c r="E117" s="185"/>
      <c r="F117" s="193" t="s">
        <v>350</v>
      </c>
      <c r="G117" s="502" t="s">
        <v>11</v>
      </c>
      <c r="H117" s="502">
        <v>2.46</v>
      </c>
      <c r="I117" s="701" t="s">
        <v>353</v>
      </c>
      <c r="J117" s="706"/>
      <c r="K117" s="185"/>
      <c r="L117" s="185"/>
      <c r="M117" s="184" t="s">
        <v>0</v>
      </c>
      <c r="N117" s="502">
        <f>H117*N116</f>
        <v>601.93124999999998</v>
      </c>
      <c r="O117" s="268" t="s">
        <v>100</v>
      </c>
      <c r="P117" s="182"/>
      <c r="Q117" s="182"/>
      <c r="R117" s="527"/>
      <c r="X117" s="173"/>
      <c r="Y117" s="177"/>
      <c r="Z117" s="177"/>
      <c r="AA117" s="177"/>
      <c r="AB117" s="177"/>
      <c r="AC117" s="172"/>
      <c r="AD117" s="514"/>
    </row>
    <row r="118" spans="1:30" ht="33" customHeight="1">
      <c r="A118" s="445"/>
      <c r="B118" s="710" t="s">
        <v>385</v>
      </c>
      <c r="C118" s="710"/>
      <c r="D118" s="710"/>
      <c r="E118" s="710"/>
      <c r="F118" s="710"/>
      <c r="G118" s="710"/>
      <c r="H118" s="203">
        <v>1</v>
      </c>
      <c r="I118" s="438" t="s">
        <v>1</v>
      </c>
      <c r="J118" s="203">
        <f>L107/0.1+1</f>
        <v>436</v>
      </c>
      <c r="K118" s="438" t="s">
        <v>1</v>
      </c>
      <c r="L118" s="186">
        <v>1.5</v>
      </c>
      <c r="M118" s="190" t="s">
        <v>0</v>
      </c>
      <c r="N118" s="213">
        <f>L118*J118*H118</f>
        <v>654</v>
      </c>
      <c r="O118" s="436" t="s">
        <v>13</v>
      </c>
      <c r="P118" s="182"/>
      <c r="Q118" s="182"/>
      <c r="R118" s="527"/>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27"/>
      <c r="X119" s="173"/>
      <c r="Y119" s="177"/>
      <c r="Z119" s="177"/>
      <c r="AA119" s="177"/>
      <c r="AB119" s="177"/>
      <c r="AC119" s="172"/>
      <c r="AD119" s="442"/>
    </row>
    <row r="120" spans="1:30">
      <c r="A120" s="445"/>
      <c r="B120" s="192"/>
      <c r="C120" s="192"/>
      <c r="D120" s="192"/>
      <c r="E120" s="185"/>
      <c r="F120" s="193" t="s">
        <v>350</v>
      </c>
      <c r="G120" s="435" t="s">
        <v>11</v>
      </c>
      <c r="H120" s="435">
        <v>0.39</v>
      </c>
      <c r="I120" s="701" t="s">
        <v>353</v>
      </c>
      <c r="J120" s="706"/>
      <c r="K120" s="185"/>
      <c r="L120" s="185"/>
      <c r="M120" s="184" t="s">
        <v>0</v>
      </c>
      <c r="N120" s="435">
        <f>H120*N119</f>
        <v>255.06</v>
      </c>
      <c r="O120" s="268" t="s">
        <v>100</v>
      </c>
      <c r="P120" s="182"/>
      <c r="Q120" s="182"/>
      <c r="R120" s="527"/>
      <c r="X120" s="173"/>
      <c r="Y120" s="177"/>
      <c r="Z120" s="177"/>
      <c r="AA120" s="177"/>
      <c r="AB120" s="177"/>
      <c r="AC120" s="172"/>
      <c r="AD120" s="442"/>
    </row>
    <row r="121" spans="1:30">
      <c r="A121" s="281"/>
      <c r="B121" s="215"/>
      <c r="C121" s="215"/>
      <c r="D121" s="225"/>
      <c r="E121" s="225"/>
      <c r="F121" s="226"/>
      <c r="G121" s="450"/>
      <c r="H121" s="226"/>
      <c r="I121" s="703" t="s">
        <v>359</v>
      </c>
      <c r="J121" s="703"/>
      <c r="K121" s="703"/>
      <c r="L121" s="703"/>
      <c r="M121" s="228" t="s">
        <v>0</v>
      </c>
      <c r="N121" s="499">
        <f>N120+N111+N103+N100+N91+N87+N71+N64+N59+N54+N48+N42+N117</f>
        <v>17146.689125000001</v>
      </c>
      <c r="O121" s="282" t="s">
        <v>100</v>
      </c>
      <c r="P121" s="228"/>
      <c r="Q121" s="205"/>
      <c r="R121" s="521"/>
    </row>
    <row r="122" spans="1:30">
      <c r="A122" s="281"/>
      <c r="B122" s="229"/>
      <c r="C122" s="229"/>
      <c r="D122" s="229"/>
      <c r="E122" s="229"/>
      <c r="F122" s="229"/>
      <c r="G122" s="229"/>
      <c r="H122" s="687" t="s">
        <v>398</v>
      </c>
      <c r="I122" s="687"/>
      <c r="J122" s="687"/>
      <c r="K122" s="687"/>
      <c r="L122" s="687"/>
      <c r="M122" s="184" t="s">
        <v>0</v>
      </c>
      <c r="N122" s="500">
        <f>N121</f>
        <v>17146.689125000001</v>
      </c>
      <c r="O122" s="274" t="s">
        <v>100</v>
      </c>
      <c r="P122" s="190"/>
      <c r="Q122" s="205"/>
      <c r="R122" s="521"/>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1"/>
    </row>
    <row r="124" spans="1:30" ht="15" customHeight="1">
      <c r="A124" s="445"/>
      <c r="B124" s="182"/>
      <c r="C124" s="182"/>
      <c r="D124" s="182"/>
      <c r="E124" s="182"/>
      <c r="F124" s="182"/>
      <c r="G124" s="182"/>
      <c r="H124" s="182"/>
      <c r="I124" s="182"/>
      <c r="J124" s="193" t="s">
        <v>350</v>
      </c>
      <c r="K124" s="344" t="s">
        <v>11</v>
      </c>
      <c r="L124" s="680">
        <v>9938</v>
      </c>
      <c r="M124" s="680"/>
      <c r="N124" s="341" t="s">
        <v>360</v>
      </c>
      <c r="O124" s="294"/>
      <c r="P124" s="184" t="s">
        <v>0</v>
      </c>
      <c r="Q124" s="197" t="s">
        <v>11</v>
      </c>
      <c r="R124" s="530">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0"/>
    </row>
    <row r="126" spans="1:30" ht="15" customHeight="1">
      <c r="A126" s="515"/>
      <c r="B126" s="182"/>
      <c r="C126" s="182"/>
      <c r="D126" s="182"/>
      <c r="E126" s="182"/>
      <c r="F126" s="182"/>
      <c r="G126" s="182"/>
      <c r="H126" s="182"/>
      <c r="I126" s="182"/>
      <c r="J126" s="193"/>
      <c r="K126" s="502"/>
      <c r="L126" s="502"/>
      <c r="M126" s="502"/>
      <c r="N126" s="513"/>
      <c r="O126" s="294"/>
      <c r="P126" s="184"/>
      <c r="Q126" s="197"/>
      <c r="R126" s="530"/>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690" t="s">
        <v>354</v>
      </c>
      <c r="C130" s="690"/>
      <c r="D130" s="690"/>
      <c r="E130" s="690"/>
      <c r="F130" s="690"/>
      <c r="G130" s="690"/>
      <c r="H130" s="690"/>
      <c r="I130" s="690"/>
      <c r="J130" s="690"/>
      <c r="K130" s="690"/>
      <c r="L130" s="690"/>
      <c r="M130" s="690"/>
      <c r="N130" s="690"/>
      <c r="O130" s="690"/>
      <c r="P130" s="184"/>
      <c r="Q130" s="197"/>
      <c r="R130" s="530"/>
    </row>
    <row r="131" spans="1:18" ht="16.5" customHeight="1">
      <c r="A131" s="281"/>
      <c r="B131" s="700" t="s">
        <v>361</v>
      </c>
      <c r="C131" s="700"/>
      <c r="D131" s="700"/>
      <c r="E131" s="700"/>
      <c r="F131" s="700"/>
      <c r="G131" s="700"/>
      <c r="H131" s="700"/>
      <c r="I131" s="700"/>
      <c r="J131" s="700"/>
      <c r="K131" s="190"/>
      <c r="L131" s="187"/>
      <c r="M131" s="190"/>
      <c r="N131" s="213"/>
      <c r="O131" s="294"/>
      <c r="P131" s="200"/>
      <c r="Q131" s="200"/>
      <c r="R131" s="531"/>
    </row>
    <row r="132" spans="1:18" ht="21" customHeight="1">
      <c r="A132" s="445"/>
      <c r="B132" s="692" t="s">
        <v>411</v>
      </c>
      <c r="C132" s="692"/>
      <c r="D132" s="692"/>
      <c r="E132" s="692"/>
      <c r="F132" s="357"/>
      <c r="G132" s="263"/>
      <c r="H132" s="357"/>
      <c r="I132" s="263"/>
      <c r="J132" s="358"/>
      <c r="K132" s="263"/>
      <c r="L132" s="358"/>
      <c r="M132" s="260"/>
      <c r="N132" s="359"/>
      <c r="O132" s="244"/>
      <c r="P132" s="182"/>
      <c r="Q132" s="182"/>
      <c r="R132" s="527"/>
    </row>
    <row r="133" spans="1:18" ht="17.25" customHeight="1">
      <c r="A133" s="487"/>
      <c r="B133" s="505"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0"/>
    </row>
    <row r="134" spans="1:18" ht="19.5" customHeight="1">
      <c r="A134" s="281"/>
      <c r="B134" s="700" t="s">
        <v>378</v>
      </c>
      <c r="C134" s="700"/>
      <c r="D134" s="700"/>
      <c r="E134" s="700"/>
      <c r="F134" s="700"/>
      <c r="G134" s="700"/>
      <c r="H134" s="700"/>
      <c r="I134" s="700"/>
      <c r="J134" s="700"/>
      <c r="K134" s="190"/>
      <c r="L134" s="187"/>
      <c r="M134" s="190"/>
      <c r="N134" s="213"/>
      <c r="O134" s="294"/>
      <c r="P134" s="200"/>
      <c r="Q134" s="200"/>
      <c r="R134" s="531"/>
    </row>
    <row r="135" spans="1:18" ht="21" customHeight="1">
      <c r="A135" s="445"/>
      <c r="B135" s="692" t="s">
        <v>411</v>
      </c>
      <c r="C135" s="692"/>
      <c r="D135" s="692"/>
      <c r="E135" s="692"/>
      <c r="F135" s="357"/>
      <c r="G135" s="263"/>
      <c r="H135" s="357"/>
      <c r="I135" s="263"/>
      <c r="J135" s="358"/>
      <c r="K135" s="263"/>
      <c r="L135" s="358"/>
      <c r="M135" s="260"/>
      <c r="N135" s="359"/>
      <c r="O135" s="244"/>
      <c r="P135" s="182"/>
      <c r="Q135" s="182"/>
      <c r="R135" s="527"/>
    </row>
    <row r="136" spans="1:18" ht="17.25" customHeight="1">
      <c r="A136" s="487"/>
      <c r="B136" s="505"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0"/>
    </row>
    <row r="137" spans="1:18" ht="17.25" customHeight="1">
      <c r="A137" s="487"/>
      <c r="B137" s="692" t="s">
        <v>510</v>
      </c>
      <c r="C137" s="692"/>
      <c r="D137" s="692"/>
      <c r="E137" s="692"/>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0"/>
    </row>
    <row r="138" spans="1:18" ht="33.75" customHeight="1">
      <c r="A138" s="445"/>
      <c r="B138" s="692" t="s">
        <v>412</v>
      </c>
      <c r="C138" s="692"/>
      <c r="D138" s="692"/>
      <c r="E138" s="692"/>
      <c r="F138" s="263">
        <v>1</v>
      </c>
      <c r="G138" s="263" t="s">
        <v>1</v>
      </c>
      <c r="H138" s="357">
        <v>3</v>
      </c>
      <c r="I138" s="263" t="s">
        <v>1</v>
      </c>
      <c r="J138" s="358">
        <v>0.45</v>
      </c>
      <c r="K138" s="263" t="s">
        <v>1</v>
      </c>
      <c r="L138" s="358">
        <f>L96</f>
        <v>195.2</v>
      </c>
      <c r="M138" s="294" t="s">
        <v>0</v>
      </c>
      <c r="N138" s="359">
        <f t="shared" si="9"/>
        <v>263.52</v>
      </c>
      <c r="O138" s="244" t="s">
        <v>420</v>
      </c>
      <c r="P138" s="182"/>
      <c r="Q138" s="182"/>
      <c r="R138" s="527"/>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27"/>
    </row>
    <row r="140" spans="1:18" ht="17.25">
      <c r="B140" s="185"/>
      <c r="C140" s="185"/>
      <c r="D140" s="185"/>
      <c r="E140" s="185"/>
      <c r="F140" s="185"/>
      <c r="G140" s="185"/>
      <c r="H140" s="185"/>
      <c r="I140" s="185"/>
      <c r="J140" s="185"/>
      <c r="K140" s="703" t="s">
        <v>8</v>
      </c>
      <c r="L140" s="703"/>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680">
        <v>389</v>
      </c>
      <c r="M141" s="680"/>
      <c r="N141" s="341" t="s">
        <v>421</v>
      </c>
      <c r="O141" s="294"/>
      <c r="P141" s="190" t="s">
        <v>0</v>
      </c>
      <c r="Q141" s="205" t="s">
        <v>11</v>
      </c>
      <c r="R141" s="521">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1"/>
    </row>
    <row r="143" spans="1:18" ht="78.75" customHeight="1">
      <c r="A143" s="487" t="s">
        <v>434</v>
      </c>
      <c r="B143" s="690" t="s">
        <v>465</v>
      </c>
      <c r="C143" s="690"/>
      <c r="D143" s="690"/>
      <c r="E143" s="690"/>
      <c r="F143" s="690"/>
      <c r="G143" s="690"/>
      <c r="H143" s="690"/>
      <c r="I143" s="690"/>
      <c r="J143" s="690"/>
      <c r="K143" s="690"/>
      <c r="L143" s="690"/>
      <c r="M143" s="690"/>
      <c r="N143" s="690"/>
      <c r="O143" s="690"/>
      <c r="P143" s="200"/>
      <c r="Q143" s="200"/>
      <c r="R143" s="531"/>
    </row>
    <row r="144" spans="1:18" ht="16.5" customHeight="1">
      <c r="A144" s="281"/>
      <c r="B144" s="700" t="s">
        <v>361</v>
      </c>
      <c r="C144" s="700"/>
      <c r="D144" s="700"/>
      <c r="E144" s="700"/>
      <c r="F144" s="700"/>
      <c r="G144" s="700"/>
      <c r="H144" s="700"/>
      <c r="I144" s="700"/>
      <c r="J144" s="700"/>
      <c r="K144" s="190"/>
      <c r="L144" s="187"/>
      <c r="M144" s="190"/>
      <c r="N144" s="213"/>
      <c r="O144" s="294"/>
      <c r="P144" s="200"/>
      <c r="Q144" s="200"/>
      <c r="R144" s="531"/>
    </row>
    <row r="145" spans="1:18" ht="13.5" customHeight="1">
      <c r="A145" s="445"/>
      <c r="B145" s="692" t="s">
        <v>411</v>
      </c>
      <c r="C145" s="692"/>
      <c r="D145" s="692"/>
      <c r="E145" s="692"/>
      <c r="F145" s="357"/>
      <c r="G145" s="263"/>
      <c r="H145" s="357"/>
      <c r="I145" s="263"/>
      <c r="J145" s="358"/>
      <c r="K145" s="263"/>
      <c r="L145" s="358"/>
      <c r="M145" s="260"/>
      <c r="N145" s="359"/>
      <c r="O145" s="244"/>
      <c r="P145" s="182"/>
      <c r="Q145" s="182"/>
      <c r="R145" s="527"/>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0"/>
    </row>
    <row r="147" spans="1:18" ht="19.5" customHeight="1">
      <c r="A147" s="281"/>
      <c r="B147" s="700" t="s">
        <v>378</v>
      </c>
      <c r="C147" s="700"/>
      <c r="D147" s="700"/>
      <c r="E147" s="700"/>
      <c r="F147" s="700"/>
      <c r="G147" s="700"/>
      <c r="H147" s="700"/>
      <c r="I147" s="700"/>
      <c r="J147" s="700"/>
      <c r="K147" s="190"/>
      <c r="L147" s="187"/>
      <c r="M147" s="190"/>
      <c r="N147" s="213"/>
      <c r="O147" s="294"/>
      <c r="P147" s="200"/>
      <c r="Q147" s="200"/>
      <c r="R147" s="531"/>
    </row>
    <row r="148" spans="1:18" ht="14.25" customHeight="1">
      <c r="A148" s="445"/>
      <c r="B148" s="692" t="s">
        <v>411</v>
      </c>
      <c r="C148" s="692"/>
      <c r="D148" s="692"/>
      <c r="E148" s="692"/>
      <c r="F148" s="357"/>
      <c r="G148" s="263"/>
      <c r="H148" s="357"/>
      <c r="I148" s="263"/>
      <c r="J148" s="358"/>
      <c r="K148" s="263"/>
      <c r="L148" s="358"/>
      <c r="M148" s="260"/>
      <c r="N148" s="359"/>
      <c r="O148" s="244"/>
      <c r="P148" s="182"/>
      <c r="Q148" s="182"/>
      <c r="R148" s="527"/>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0"/>
    </row>
    <row r="150" spans="1:18" ht="17.25" customHeight="1">
      <c r="A150" s="487"/>
      <c r="B150" s="211" t="s">
        <v>493</v>
      </c>
      <c r="C150" s="462"/>
      <c r="F150" s="461"/>
      <c r="G150" s="462"/>
      <c r="H150" s="456"/>
      <c r="I150" s="462"/>
      <c r="J150" s="456"/>
      <c r="K150" s="462"/>
      <c r="L150" s="456"/>
      <c r="M150" s="457"/>
      <c r="N150" s="167"/>
      <c r="O150" s="164"/>
      <c r="P150" s="184"/>
      <c r="Q150" s="197"/>
      <c r="R150" s="530"/>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729">
        <f>D151*F151*H151*(J151+L151)/K152</f>
        <v>71.221500000000006</v>
      </c>
      <c r="O151" s="730" t="s">
        <v>502</v>
      </c>
      <c r="P151" s="184"/>
      <c r="Q151" s="197"/>
      <c r="R151" s="530"/>
    </row>
    <row r="152" spans="1:18" ht="17.25" customHeight="1">
      <c r="A152" s="487"/>
      <c r="B152" s="481"/>
      <c r="F152" s="462"/>
      <c r="G152" s="462"/>
      <c r="H152" s="456"/>
      <c r="I152" s="462"/>
      <c r="J152" s="456"/>
      <c r="K152" s="462">
        <v>2</v>
      </c>
      <c r="L152" s="456"/>
      <c r="M152" s="457"/>
      <c r="N152" s="729"/>
      <c r="O152" s="730"/>
      <c r="P152" s="184"/>
      <c r="Q152" s="197"/>
      <c r="R152" s="530"/>
    </row>
    <row r="153" spans="1:18" ht="17.25" customHeight="1">
      <c r="A153" s="496"/>
      <c r="B153" s="481"/>
      <c r="F153" s="473"/>
      <c r="G153" s="473"/>
      <c r="H153" s="456"/>
      <c r="I153" s="473"/>
      <c r="J153" s="456"/>
      <c r="K153" s="473"/>
      <c r="L153" s="456"/>
      <c r="M153" s="484"/>
      <c r="N153" s="485"/>
      <c r="O153" s="486"/>
      <c r="P153" s="200"/>
      <c r="Q153" s="200"/>
      <c r="R153" s="531"/>
    </row>
    <row r="154" spans="1:18" ht="17.25" customHeight="1">
      <c r="A154" s="518"/>
      <c r="B154" s="481"/>
      <c r="F154" s="517"/>
      <c r="G154" s="517"/>
      <c r="H154" s="456"/>
      <c r="I154" s="517"/>
      <c r="J154" s="456"/>
      <c r="K154" s="517"/>
      <c r="L154" s="456"/>
      <c r="M154" s="484"/>
      <c r="N154" s="519"/>
      <c r="O154" s="520"/>
      <c r="P154" s="200"/>
      <c r="Q154" s="200"/>
      <c r="R154" s="531"/>
    </row>
    <row r="155" spans="1:18" ht="17.25" customHeight="1">
      <c r="A155" s="518"/>
      <c r="B155" s="481"/>
      <c r="F155" s="517"/>
      <c r="G155" s="517"/>
      <c r="H155" s="456"/>
      <c r="I155" s="517"/>
      <c r="J155" s="456"/>
      <c r="K155" s="517"/>
      <c r="L155" s="456"/>
      <c r="M155" s="484"/>
      <c r="N155" s="519"/>
      <c r="O155" s="520"/>
      <c r="P155" s="200"/>
      <c r="Q155" s="200"/>
      <c r="R155" s="531"/>
    </row>
    <row r="156" spans="1:18" ht="17.25" customHeight="1">
      <c r="A156" s="518"/>
      <c r="B156" s="481"/>
      <c r="F156" s="517"/>
      <c r="G156" s="517"/>
      <c r="H156" s="456"/>
      <c r="I156" s="517"/>
      <c r="J156" s="456"/>
      <c r="K156" s="517"/>
      <c r="L156" s="456"/>
      <c r="M156" s="484"/>
      <c r="N156" s="519"/>
      <c r="O156" s="520"/>
      <c r="P156" s="200"/>
      <c r="Q156" s="200"/>
      <c r="R156" s="531"/>
    </row>
    <row r="157" spans="1:18" ht="17.25" customHeight="1">
      <c r="A157" s="518"/>
      <c r="B157" s="481"/>
      <c r="F157" s="517"/>
      <c r="G157" s="517"/>
      <c r="H157" s="456"/>
      <c r="I157" s="517"/>
      <c r="J157" s="456"/>
      <c r="K157" s="517"/>
      <c r="L157" s="456"/>
      <c r="M157" s="484"/>
      <c r="N157" s="519"/>
      <c r="O157" s="520"/>
      <c r="P157" s="200"/>
      <c r="Q157" s="200"/>
      <c r="R157" s="531"/>
    </row>
    <row r="158" spans="1:18" ht="17.25" customHeight="1">
      <c r="A158" s="518"/>
      <c r="B158" s="481"/>
      <c r="F158" s="517"/>
      <c r="G158" s="517"/>
      <c r="H158" s="456"/>
      <c r="I158" s="517"/>
      <c r="J158" s="456"/>
      <c r="K158" s="517"/>
      <c r="L158" s="456"/>
      <c r="M158" s="484"/>
      <c r="N158" s="519"/>
      <c r="O158" s="520"/>
      <c r="P158" s="200"/>
      <c r="Q158" s="200"/>
      <c r="R158" s="531"/>
    </row>
    <row r="159" spans="1:18" ht="17.25" customHeight="1">
      <c r="A159" s="518"/>
      <c r="B159" s="481"/>
      <c r="F159" s="517"/>
      <c r="G159" s="517"/>
      <c r="H159" s="456"/>
      <c r="I159" s="517"/>
      <c r="J159" s="456"/>
      <c r="K159" s="517"/>
      <c r="L159" s="456"/>
      <c r="M159" s="484"/>
      <c r="N159" s="519"/>
      <c r="O159" s="520"/>
      <c r="P159" s="200"/>
      <c r="Q159" s="200"/>
      <c r="R159" s="531"/>
    </row>
    <row r="160" spans="1:18" ht="17.25" customHeight="1">
      <c r="A160" s="518"/>
      <c r="B160" s="481"/>
      <c r="F160" s="517"/>
      <c r="G160" s="517"/>
      <c r="H160" s="456"/>
      <c r="I160" s="517"/>
      <c r="J160" s="456"/>
      <c r="K160" s="517"/>
      <c r="L160" s="456"/>
      <c r="M160" s="484"/>
      <c r="N160" s="519"/>
      <c r="O160" s="520"/>
      <c r="P160" s="200"/>
      <c r="Q160" s="200"/>
      <c r="R160" s="531"/>
    </row>
    <row r="161" spans="1:41" ht="17.25" customHeight="1">
      <c r="A161" s="518"/>
      <c r="B161" s="481"/>
      <c r="F161" s="517"/>
      <c r="G161" s="517"/>
      <c r="H161" s="456"/>
      <c r="I161" s="517"/>
      <c r="J161" s="456"/>
      <c r="K161" s="517"/>
      <c r="L161" s="456"/>
      <c r="M161" s="484"/>
      <c r="N161" s="519"/>
      <c r="O161" s="520"/>
      <c r="P161" s="200"/>
      <c r="Q161" s="200"/>
      <c r="R161" s="531"/>
    </row>
    <row r="162" spans="1:41" ht="17.25" customHeight="1">
      <c r="A162" s="518"/>
      <c r="B162" s="481"/>
      <c r="F162" s="517"/>
      <c r="G162" s="517"/>
      <c r="H162" s="456"/>
      <c r="I162" s="517"/>
      <c r="J162" s="456"/>
      <c r="K162" s="517"/>
      <c r="L162" s="456"/>
      <c r="M162" s="484"/>
      <c r="N162" s="519"/>
      <c r="O162" s="520"/>
      <c r="P162" s="200"/>
      <c r="Q162" s="200"/>
      <c r="R162" s="531"/>
    </row>
    <row r="163" spans="1:41" ht="17.25" customHeight="1">
      <c r="A163" s="518"/>
      <c r="B163" s="481"/>
      <c r="F163" s="517"/>
      <c r="G163" s="517"/>
      <c r="H163" s="456"/>
      <c r="I163" s="517"/>
      <c r="J163" s="456"/>
      <c r="K163" s="517"/>
      <c r="L163" s="456"/>
      <c r="M163" s="484"/>
      <c r="N163" s="519"/>
      <c r="O163" s="520"/>
      <c r="P163" s="200"/>
      <c r="Q163" s="200"/>
      <c r="R163" s="531"/>
    </row>
    <row r="164" spans="1:41" ht="17.25" customHeight="1">
      <c r="A164" s="518"/>
      <c r="B164" s="481"/>
      <c r="F164" s="517"/>
      <c r="G164" s="517"/>
      <c r="H164" s="456"/>
      <c r="I164" s="517"/>
      <c r="J164" s="456"/>
      <c r="K164" s="517"/>
      <c r="L164" s="456"/>
      <c r="M164" s="484"/>
      <c r="N164" s="519"/>
      <c r="O164" s="520"/>
      <c r="P164" s="200"/>
      <c r="Q164" s="200"/>
      <c r="R164" s="531"/>
    </row>
    <row r="165" spans="1:41" ht="17.25" customHeight="1">
      <c r="A165" s="496"/>
      <c r="B165" s="481"/>
      <c r="F165" s="473"/>
      <c r="G165" s="473"/>
      <c r="H165" s="456"/>
      <c r="I165" s="473"/>
      <c r="J165" s="456"/>
      <c r="K165" s="473"/>
      <c r="L165" s="456"/>
      <c r="M165" s="484"/>
      <c r="N165" s="485"/>
      <c r="O165" s="486"/>
      <c r="P165" s="200"/>
      <c r="Q165" s="200"/>
      <c r="R165" s="531"/>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701"/>
      <c r="C167" s="701"/>
      <c r="D167" s="701"/>
      <c r="E167" s="701"/>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1"/>
      <c r="C168" s="511"/>
      <c r="D168" s="511"/>
      <c r="E168" s="511"/>
      <c r="F168" s="203"/>
      <c r="G168" s="510"/>
      <c r="H168" s="186"/>
      <c r="I168" s="510"/>
      <c r="J168" s="186"/>
      <c r="K168" s="510"/>
      <c r="L168" s="186"/>
      <c r="M168" s="190"/>
      <c r="N168" s="199"/>
      <c r="O168" s="391"/>
      <c r="P168" s="251"/>
      <c r="Q168" s="252"/>
      <c r="R168" s="392"/>
      <c r="AB168" s="396"/>
    </row>
    <row r="169" spans="1:41" ht="17.25" customHeight="1">
      <c r="B169" s="700" t="s">
        <v>509</v>
      </c>
      <c r="C169" s="700"/>
      <c r="D169" s="700"/>
      <c r="E169" s="700"/>
      <c r="F169" s="700"/>
      <c r="G169" s="700"/>
      <c r="H169" s="700"/>
      <c r="I169" s="700"/>
      <c r="J169" s="700"/>
      <c r="K169" s="342"/>
      <c r="L169" s="186"/>
      <c r="M169" s="190"/>
      <c r="N169" s="199"/>
      <c r="O169" s="294"/>
      <c r="P169" s="185"/>
      <c r="Q169" s="185"/>
      <c r="AB169" s="396"/>
    </row>
    <row r="170" spans="1:41" ht="15" customHeight="1">
      <c r="B170" s="700"/>
      <c r="C170" s="700"/>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687" t="s">
        <v>8</v>
      </c>
      <c r="L172" s="687"/>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698">
        <f>9235+93+93</f>
        <v>9421</v>
      </c>
      <c r="M173" s="698"/>
      <c r="N173" s="394" t="s">
        <v>419</v>
      </c>
      <c r="O173" s="294"/>
      <c r="P173" s="259" t="s">
        <v>0</v>
      </c>
      <c r="Q173" s="395" t="s">
        <v>11</v>
      </c>
      <c r="R173" s="530">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2"/>
      <c r="X174" s="369"/>
    </row>
    <row r="175" spans="1:41" s="361" customFormat="1" ht="16.5" customHeight="1">
      <c r="A175" s="492"/>
      <c r="B175" s="211"/>
      <c r="C175" s="211"/>
      <c r="D175" s="211"/>
      <c r="E175" s="211"/>
      <c r="F175" s="211"/>
      <c r="G175" s="211"/>
      <c r="H175" s="211"/>
      <c r="I175" s="211"/>
      <c r="J175" s="193"/>
      <c r="K175" s="363"/>
      <c r="L175" s="363"/>
      <c r="M175" s="363"/>
      <c r="N175" s="365"/>
      <c r="R175" s="532"/>
    </row>
    <row r="176" spans="1:41" ht="78.75" customHeight="1">
      <c r="A176" s="518" t="s">
        <v>518</v>
      </c>
      <c r="B176" s="690" t="s">
        <v>519</v>
      </c>
      <c r="C176" s="690"/>
      <c r="D176" s="690"/>
      <c r="E176" s="690"/>
      <c r="F176" s="690"/>
      <c r="G176" s="690"/>
      <c r="H176" s="690"/>
      <c r="I176" s="690"/>
      <c r="J176" s="690"/>
      <c r="K176" s="690"/>
      <c r="L176" s="690"/>
      <c r="M176" s="690"/>
      <c r="N176" s="690"/>
      <c r="O176" s="690"/>
      <c r="P176" s="184"/>
      <c r="Q176" s="197"/>
      <c r="R176" s="530"/>
      <c r="T176" s="168"/>
      <c r="X176" s="361"/>
    </row>
    <row r="177" spans="1:24" ht="18" customHeight="1">
      <c r="A177" s="518"/>
      <c r="B177" s="684" t="s">
        <v>520</v>
      </c>
      <c r="C177" s="684"/>
      <c r="D177" s="684"/>
      <c r="E177" s="505"/>
      <c r="F177" s="505"/>
      <c r="G177" s="505"/>
      <c r="H177" s="203">
        <v>6</v>
      </c>
      <c r="I177" s="510" t="s">
        <v>1</v>
      </c>
      <c r="J177" s="186">
        <v>7</v>
      </c>
      <c r="K177" s="510" t="s">
        <v>1</v>
      </c>
      <c r="L177" s="186">
        <v>11.88</v>
      </c>
      <c r="M177" s="504" t="s">
        <v>0</v>
      </c>
      <c r="N177" s="213">
        <f>L177*J177*H177/100</f>
        <v>4.9896000000000003</v>
      </c>
      <c r="O177" s="244" t="s">
        <v>521</v>
      </c>
      <c r="P177" s="184"/>
      <c r="Q177" s="197"/>
      <c r="R177" s="530"/>
      <c r="T177" s="168"/>
    </row>
    <row r="178" spans="1:24" ht="18" customHeight="1">
      <c r="A178" s="518"/>
      <c r="B178" s="503"/>
      <c r="C178" s="503"/>
      <c r="D178" s="503"/>
      <c r="E178" s="505"/>
      <c r="F178" s="505"/>
      <c r="G178" s="505"/>
      <c r="H178" s="203">
        <v>6</v>
      </c>
      <c r="I178" s="510" t="s">
        <v>1</v>
      </c>
      <c r="J178" s="186">
        <v>12.98</v>
      </c>
      <c r="K178" s="510" t="s">
        <v>1</v>
      </c>
      <c r="L178" s="186">
        <v>6.71</v>
      </c>
      <c r="M178" s="504" t="s">
        <v>0</v>
      </c>
      <c r="N178" s="213">
        <f t="shared" ref="N178:N179" si="13">L178*J178*H178/100</f>
        <v>5.2257479999999994</v>
      </c>
      <c r="O178" s="244" t="s">
        <v>521</v>
      </c>
      <c r="P178" s="184"/>
      <c r="Q178" s="197"/>
      <c r="R178" s="530"/>
      <c r="T178" s="168"/>
    </row>
    <row r="179" spans="1:24" ht="18" customHeight="1">
      <c r="A179" s="518"/>
      <c r="B179" s="503"/>
      <c r="C179" s="503"/>
      <c r="D179" s="503"/>
      <c r="E179" s="505"/>
      <c r="F179" s="505"/>
      <c r="G179" s="505"/>
      <c r="H179" s="203">
        <v>6</v>
      </c>
      <c r="I179" s="510" t="s">
        <v>1</v>
      </c>
      <c r="J179" s="186">
        <v>7.28</v>
      </c>
      <c r="K179" s="510" t="s">
        <v>1</v>
      </c>
      <c r="L179" s="186">
        <v>6.71</v>
      </c>
      <c r="M179" s="504" t="s">
        <v>0</v>
      </c>
      <c r="N179" s="213">
        <f t="shared" si="13"/>
        <v>2.9309280000000002</v>
      </c>
      <c r="O179" s="244" t="s">
        <v>521</v>
      </c>
      <c r="P179" s="184"/>
      <c r="Q179" s="197"/>
      <c r="R179" s="530"/>
      <c r="T179" s="168"/>
    </row>
    <row r="180" spans="1:24" ht="18" customHeight="1">
      <c r="A180" s="518"/>
      <c r="B180" s="503"/>
      <c r="C180" s="503"/>
      <c r="D180" s="503"/>
      <c r="E180" s="505"/>
      <c r="F180" s="509">
        <v>5</v>
      </c>
      <c r="G180" s="505" t="s">
        <v>1</v>
      </c>
      <c r="H180" s="203">
        <v>6</v>
      </c>
      <c r="I180" s="510" t="s">
        <v>1</v>
      </c>
      <c r="J180" s="186">
        <v>55.3</v>
      </c>
      <c r="K180" s="510" t="s">
        <v>1</v>
      </c>
      <c r="L180" s="534">
        <v>4.12</v>
      </c>
      <c r="M180" s="232" t="s">
        <v>0</v>
      </c>
      <c r="N180" s="213">
        <f>F180*H180*J180*L180/100</f>
        <v>68.350799999999992</v>
      </c>
      <c r="O180" s="283" t="s">
        <v>521</v>
      </c>
      <c r="P180" s="184"/>
      <c r="Q180" s="197"/>
      <c r="R180" s="530"/>
      <c r="T180" s="168"/>
    </row>
    <row r="181" spans="1:24" ht="18" customHeight="1">
      <c r="A181" s="518"/>
      <c r="B181" s="505"/>
      <c r="C181" s="505"/>
      <c r="D181" s="505"/>
      <c r="E181" s="505"/>
      <c r="F181" s="505"/>
      <c r="G181" s="505"/>
      <c r="H181" s="505"/>
      <c r="I181" s="505"/>
      <c r="J181" s="505"/>
      <c r="K181" s="687" t="s">
        <v>8</v>
      </c>
      <c r="L181" s="687"/>
      <c r="M181" s="190" t="s">
        <v>0</v>
      </c>
      <c r="N181" s="204">
        <f>SUM(N177:N180)</f>
        <v>81.497075999999993</v>
      </c>
      <c r="O181" s="265" t="s">
        <v>521</v>
      </c>
      <c r="P181" s="184"/>
      <c r="Q181" s="197"/>
      <c r="R181" s="530"/>
      <c r="T181" s="168"/>
    </row>
    <row r="182" spans="1:24" ht="18" customHeight="1">
      <c r="A182" s="518"/>
      <c r="B182" s="505"/>
      <c r="C182" s="505"/>
      <c r="D182" s="505"/>
      <c r="E182" s="505"/>
      <c r="F182" s="505"/>
      <c r="G182" s="505"/>
      <c r="H182" s="684" t="s">
        <v>522</v>
      </c>
      <c r="I182" s="684"/>
      <c r="J182" s="684"/>
      <c r="K182" s="684"/>
      <c r="L182" s="684"/>
      <c r="M182" s="504" t="s">
        <v>0</v>
      </c>
      <c r="N182" s="204">
        <f>N181*0.15</f>
        <v>12.224561399999999</v>
      </c>
      <c r="O182" s="244"/>
      <c r="P182" s="184"/>
      <c r="Q182" s="197"/>
      <c r="R182" s="530"/>
      <c r="T182" s="168"/>
    </row>
    <row r="183" spans="1:24" ht="33.75" customHeight="1">
      <c r="A183" s="518"/>
      <c r="B183" s="505"/>
      <c r="C183" s="505"/>
      <c r="D183" s="505"/>
      <c r="E183" s="505"/>
      <c r="F183" s="505"/>
      <c r="G183" s="505"/>
      <c r="H183" s="684" t="s">
        <v>523</v>
      </c>
      <c r="I183" s="684"/>
      <c r="J183" s="684"/>
      <c r="K183" s="684"/>
      <c r="L183" s="684"/>
      <c r="M183" s="190"/>
      <c r="N183" s="204">
        <f>N181*0.05</f>
        <v>4.0748537999999996</v>
      </c>
      <c r="O183" s="244"/>
      <c r="P183" s="184"/>
      <c r="Q183" s="197"/>
      <c r="R183" s="530"/>
      <c r="T183" s="168"/>
    </row>
    <row r="184" spans="1:24" ht="18" customHeight="1">
      <c r="A184" s="518"/>
      <c r="B184" s="185"/>
      <c r="C184" s="185"/>
      <c r="D184" s="185"/>
      <c r="E184" s="185"/>
      <c r="F184" s="185"/>
      <c r="G184" s="185"/>
      <c r="H184" s="185"/>
      <c r="I184" s="185"/>
      <c r="J184" s="185"/>
      <c r="K184" s="703" t="s">
        <v>8</v>
      </c>
      <c r="L184" s="703"/>
      <c r="M184" s="228" t="s">
        <v>0</v>
      </c>
      <c r="N184" s="235">
        <f>SUM(N181:N183)</f>
        <v>97.796491199999991</v>
      </c>
      <c r="O184" s="360" t="s">
        <v>521</v>
      </c>
      <c r="P184" s="184"/>
      <c r="Q184" s="197"/>
      <c r="R184" s="530"/>
      <c r="T184" s="168"/>
    </row>
    <row r="185" spans="1:24" ht="18" customHeight="1">
      <c r="A185" s="518"/>
      <c r="B185" s="211"/>
      <c r="C185" s="211"/>
      <c r="D185" s="211"/>
      <c r="E185" s="211"/>
      <c r="F185" s="211"/>
      <c r="G185" s="211"/>
      <c r="H185" s="211"/>
      <c r="I185" s="190"/>
      <c r="J185" s="236"/>
      <c r="K185" s="510"/>
      <c r="L185" s="233" t="s">
        <v>8</v>
      </c>
      <c r="M185" s="504"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680">
        <v>11652</v>
      </c>
      <c r="M186" s="680"/>
      <c r="N186" s="513" t="s">
        <v>524</v>
      </c>
      <c r="O186" s="294"/>
      <c r="P186" s="190" t="s">
        <v>0</v>
      </c>
      <c r="Q186" s="205" t="s">
        <v>11</v>
      </c>
      <c r="R186" s="521">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3"/>
      <c r="O187" s="294"/>
      <c r="P187" s="190"/>
      <c r="Q187" s="205"/>
      <c r="R187" s="521"/>
    </row>
    <row r="188" spans="1:24" ht="192.75" customHeight="1">
      <c r="A188" s="541" t="s">
        <v>536</v>
      </c>
      <c r="B188" s="699" t="s">
        <v>535</v>
      </c>
      <c r="C188" s="699"/>
      <c r="D188" s="699"/>
      <c r="E188" s="699"/>
      <c r="F188" s="699"/>
      <c r="G188" s="699"/>
      <c r="H188" s="699"/>
      <c r="I188" s="699"/>
      <c r="J188" s="699"/>
      <c r="K188" s="699"/>
      <c r="L188" s="699"/>
      <c r="M188" s="699"/>
      <c r="N188" s="699"/>
      <c r="O188" s="699"/>
      <c r="P188" s="184"/>
      <c r="Q188" s="197"/>
      <c r="R188" s="530"/>
      <c r="T188" s="168"/>
      <c r="X188" s="361"/>
    </row>
    <row r="189" spans="1:24" s="361" customFormat="1" ht="16.5" customHeight="1">
      <c r="A189" s="492"/>
      <c r="B189" s="185"/>
      <c r="C189" s="185"/>
      <c r="D189" s="185"/>
      <c r="E189" s="182"/>
      <c r="F189" s="182"/>
      <c r="G189" s="182"/>
      <c r="H189" s="182"/>
      <c r="I189" s="182"/>
      <c r="J189" s="193"/>
      <c r="K189" s="502"/>
      <c r="L189" s="502"/>
      <c r="M189" s="502"/>
      <c r="N189" s="513"/>
      <c r="O189" s="294"/>
      <c r="P189" s="190"/>
      <c r="Q189" s="205"/>
      <c r="R189" s="521"/>
      <c r="X189" s="157"/>
    </row>
    <row r="190" spans="1:24" s="361" customFormat="1" ht="16.5" customHeight="1">
      <c r="A190" s="492"/>
      <c r="B190" s="185" t="s">
        <v>525</v>
      </c>
      <c r="C190" s="693" t="s">
        <v>526</v>
      </c>
      <c r="D190" s="693"/>
      <c r="E190" s="693"/>
      <c r="F190" s="693"/>
      <c r="G190" s="693"/>
      <c r="H190" s="693"/>
      <c r="I190" s="182"/>
      <c r="J190" s="193"/>
      <c r="K190" s="502"/>
      <c r="L190" s="502"/>
      <c r="M190" s="502"/>
      <c r="N190" s="513"/>
      <c r="O190" s="294"/>
      <c r="P190" s="190"/>
      <c r="Q190" s="205"/>
      <c r="R190" s="521"/>
    </row>
    <row r="191" spans="1:24" ht="18" customHeight="1">
      <c r="A191" s="518"/>
      <c r="B191" s="503"/>
      <c r="C191" s="503"/>
      <c r="D191" s="503"/>
      <c r="E191" s="505"/>
      <c r="F191" s="509">
        <v>1</v>
      </c>
      <c r="G191" s="505" t="s">
        <v>1</v>
      </c>
      <c r="H191" s="203">
        <v>1</v>
      </c>
      <c r="I191" s="510" t="s">
        <v>1</v>
      </c>
      <c r="J191" s="186">
        <v>11</v>
      </c>
      <c r="K191" s="510" t="s">
        <v>1</v>
      </c>
      <c r="L191" s="534">
        <v>55.55</v>
      </c>
      <c r="M191" s="232" t="s">
        <v>0</v>
      </c>
      <c r="N191" s="189">
        <f>F191*H191*J191*L191</f>
        <v>611.04999999999995</v>
      </c>
      <c r="O191" s="283" t="s">
        <v>528</v>
      </c>
      <c r="P191" s="184"/>
      <c r="Q191" s="197"/>
      <c r="R191" s="530"/>
      <c r="T191" s="168"/>
      <c r="X191" s="361"/>
    </row>
    <row r="192" spans="1:24" ht="18" customHeight="1">
      <c r="A192" s="518"/>
      <c r="B192" s="505"/>
      <c r="C192" s="505"/>
      <c r="D192" s="505"/>
      <c r="E192" s="505"/>
      <c r="F192" s="505"/>
      <c r="G192" s="505"/>
      <c r="H192" s="505"/>
      <c r="I192" s="505"/>
      <c r="J192" s="505"/>
      <c r="K192" s="687" t="s">
        <v>8</v>
      </c>
      <c r="L192" s="687"/>
      <c r="M192" s="190" t="s">
        <v>0</v>
      </c>
      <c r="N192" s="204">
        <f>SUM(N188:N191)</f>
        <v>611.04999999999995</v>
      </c>
      <c r="O192" s="265" t="s">
        <v>528</v>
      </c>
      <c r="P192" s="184"/>
      <c r="Q192" s="197"/>
      <c r="R192" s="530"/>
      <c r="T192" s="168"/>
    </row>
    <row r="193" spans="1:24" ht="18" customHeight="1">
      <c r="A193" s="518"/>
      <c r="B193" s="211"/>
      <c r="C193" s="211"/>
      <c r="D193" s="211"/>
      <c r="E193" s="211"/>
      <c r="F193" s="211"/>
      <c r="G193" s="211"/>
      <c r="H193" s="211"/>
      <c r="I193" s="190"/>
      <c r="J193" s="236"/>
      <c r="K193" s="510"/>
      <c r="L193" s="233" t="s">
        <v>8</v>
      </c>
      <c r="M193" s="504"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680">
        <v>1189</v>
      </c>
      <c r="M194" s="680"/>
      <c r="N194" s="513" t="s">
        <v>527</v>
      </c>
      <c r="O194" s="294"/>
      <c r="P194" s="190" t="s">
        <v>0</v>
      </c>
      <c r="Q194" s="205" t="s">
        <v>11</v>
      </c>
      <c r="R194" s="521">
        <f>L194*N193</f>
        <v>726538.45</v>
      </c>
      <c r="X194" s="157"/>
    </row>
    <row r="195" spans="1:24" s="361" customFormat="1" ht="16.5" customHeight="1">
      <c r="A195" s="492"/>
      <c r="B195" s="185"/>
      <c r="C195" s="185"/>
      <c r="D195" s="185"/>
      <c r="E195" s="182"/>
      <c r="F195" s="182"/>
      <c r="G195" s="182"/>
      <c r="H195" s="182"/>
      <c r="I195" s="182"/>
      <c r="J195" s="193"/>
      <c r="K195" s="502"/>
      <c r="L195" s="502"/>
      <c r="M195" s="502"/>
      <c r="N195" s="513"/>
      <c r="O195" s="294"/>
      <c r="P195" s="190"/>
      <c r="Q195" s="205"/>
      <c r="R195" s="521"/>
    </row>
    <row r="196" spans="1:24" s="361" customFormat="1" ht="16.5" customHeight="1">
      <c r="A196" s="492"/>
      <c r="B196" s="185"/>
      <c r="C196" s="185"/>
      <c r="D196" s="185"/>
      <c r="E196" s="182"/>
      <c r="F196" s="182"/>
      <c r="G196" s="182"/>
      <c r="H196" s="182"/>
      <c r="I196" s="182"/>
      <c r="J196" s="193"/>
      <c r="K196" s="502"/>
      <c r="L196" s="502"/>
      <c r="M196" s="502"/>
      <c r="N196" s="513"/>
      <c r="O196" s="294"/>
      <c r="P196" s="190"/>
      <c r="Q196" s="205"/>
      <c r="R196" s="521"/>
    </row>
    <row r="197" spans="1:24" s="361" customFormat="1" ht="16.5" customHeight="1">
      <c r="A197" s="492"/>
      <c r="B197" s="185"/>
      <c r="C197" s="185"/>
      <c r="D197" s="185"/>
      <c r="E197" s="182"/>
      <c r="F197" s="182"/>
      <c r="G197" s="182"/>
      <c r="H197" s="182"/>
      <c r="I197" s="182"/>
      <c r="J197" s="193"/>
      <c r="K197" s="502"/>
      <c r="L197" s="502"/>
      <c r="M197" s="502"/>
      <c r="N197" s="513"/>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3"/>
      <c r="O198" s="281" t="s">
        <v>25</v>
      </c>
      <c r="P198" s="251" t="s">
        <v>0</v>
      </c>
      <c r="Q198" s="252" t="s">
        <v>11</v>
      </c>
      <c r="R198" s="273">
        <f>R197</f>
        <v>5460237.1654623998</v>
      </c>
    </row>
    <row r="199" spans="1:24" ht="78.75" customHeight="1">
      <c r="A199" s="487" t="s">
        <v>471</v>
      </c>
      <c r="B199" s="690" t="s">
        <v>355</v>
      </c>
      <c r="C199" s="690"/>
      <c r="D199" s="690"/>
      <c r="E199" s="690"/>
      <c r="F199" s="690"/>
      <c r="G199" s="690"/>
      <c r="H199" s="690"/>
      <c r="I199" s="690"/>
      <c r="J199" s="690"/>
      <c r="K199" s="690"/>
      <c r="L199" s="690"/>
      <c r="M199" s="690"/>
      <c r="N199" s="690"/>
      <c r="O199" s="690"/>
      <c r="P199" s="184"/>
      <c r="Q199" s="197"/>
      <c r="R199" s="530"/>
      <c r="T199" s="168"/>
      <c r="X199" s="361"/>
    </row>
    <row r="200" spans="1:24" ht="20.25" customHeight="1">
      <c r="A200" s="518"/>
      <c r="B200" s="505"/>
      <c r="C200" s="505"/>
      <c r="D200" s="505"/>
      <c r="E200" s="505"/>
      <c r="F200" s="505"/>
      <c r="G200" s="505"/>
      <c r="H200" s="505"/>
      <c r="I200" s="505"/>
      <c r="J200" s="505"/>
      <c r="K200" s="505"/>
      <c r="L200" s="505"/>
      <c r="M200" s="505"/>
      <c r="N200" s="505"/>
      <c r="O200" s="505"/>
      <c r="P200" s="184"/>
      <c r="Q200" s="197"/>
      <c r="R200" s="530"/>
      <c r="T200" s="168"/>
    </row>
    <row r="201" spans="1:24" ht="15" customHeight="1">
      <c r="A201" s="494"/>
      <c r="B201" s="719"/>
      <c r="C201" s="719"/>
      <c r="D201" s="719"/>
      <c r="E201" s="719"/>
      <c r="F201" s="185"/>
      <c r="G201" s="185"/>
      <c r="H201" s="203">
        <v>2</v>
      </c>
      <c r="I201" s="342" t="s">
        <v>1</v>
      </c>
      <c r="J201" s="186">
        <v>6.9</v>
      </c>
      <c r="K201" s="342" t="s">
        <v>1</v>
      </c>
      <c r="L201" s="186">
        <v>5</v>
      </c>
      <c r="M201" s="343" t="s">
        <v>0</v>
      </c>
      <c r="N201" s="213">
        <f t="shared" ref="N201:N210" si="14">L201*J201*H201</f>
        <v>69</v>
      </c>
      <c r="O201" s="244" t="s">
        <v>420</v>
      </c>
      <c r="P201" s="184"/>
      <c r="Q201" s="197"/>
      <c r="R201" s="530"/>
      <c r="T201" s="168"/>
    </row>
    <row r="202" spans="1:24" ht="15" customHeight="1">
      <c r="A202" s="494"/>
      <c r="B202" s="210"/>
      <c r="C202" s="185"/>
      <c r="D202" s="185"/>
      <c r="E202" s="185"/>
      <c r="F202" s="185"/>
      <c r="G202" s="185"/>
      <c r="H202" s="203">
        <v>2</v>
      </c>
      <c r="I202" s="510" t="s">
        <v>1</v>
      </c>
      <c r="J202" s="186">
        <v>9.6</v>
      </c>
      <c r="K202" s="510" t="s">
        <v>1</v>
      </c>
      <c r="L202" s="186">
        <v>5</v>
      </c>
      <c r="M202" s="504" t="s">
        <v>0</v>
      </c>
      <c r="N202" s="213">
        <f t="shared" ref="N202:N207" si="15">L202*J202*H202</f>
        <v>96</v>
      </c>
      <c r="O202" s="244" t="s">
        <v>420</v>
      </c>
      <c r="P202" s="184"/>
      <c r="Q202" s="197"/>
      <c r="R202" s="530"/>
      <c r="T202" s="168"/>
    </row>
    <row r="203" spans="1:24" ht="33" customHeight="1">
      <c r="A203" s="494"/>
      <c r="B203" s="719" t="s">
        <v>529</v>
      </c>
      <c r="C203" s="719"/>
      <c r="D203" s="719"/>
      <c r="E203" s="719"/>
      <c r="F203" s="185"/>
      <c r="G203" s="185"/>
      <c r="H203" s="203">
        <v>2</v>
      </c>
      <c r="I203" s="510" t="s">
        <v>1</v>
      </c>
      <c r="J203" s="186">
        <v>1.8</v>
      </c>
      <c r="K203" s="510" t="s">
        <v>1</v>
      </c>
      <c r="L203" s="186">
        <v>2.1</v>
      </c>
      <c r="M203" s="504" t="s">
        <v>0</v>
      </c>
      <c r="N203" s="213">
        <f t="shared" si="15"/>
        <v>7.5600000000000005</v>
      </c>
      <c r="O203" s="244" t="s">
        <v>420</v>
      </c>
      <c r="P203" s="184"/>
      <c r="Q203" s="197"/>
      <c r="R203" s="530"/>
      <c r="T203" s="168"/>
    </row>
    <row r="204" spans="1:24" ht="21" customHeight="1">
      <c r="A204" s="494"/>
      <c r="B204" s="719" t="s">
        <v>530</v>
      </c>
      <c r="C204" s="719"/>
      <c r="D204" s="719"/>
      <c r="E204" s="719"/>
      <c r="F204" s="185"/>
      <c r="G204" s="185"/>
      <c r="H204" s="203">
        <v>2</v>
      </c>
      <c r="I204" s="510" t="s">
        <v>1</v>
      </c>
      <c r="J204" s="186">
        <v>4.3</v>
      </c>
      <c r="K204" s="510" t="s">
        <v>1</v>
      </c>
      <c r="L204" s="186">
        <v>2.1</v>
      </c>
      <c r="M204" s="504" t="s">
        <v>0</v>
      </c>
      <c r="N204" s="213">
        <f t="shared" si="15"/>
        <v>18.059999999999999</v>
      </c>
      <c r="O204" s="244" t="s">
        <v>420</v>
      </c>
      <c r="P204" s="184"/>
      <c r="Q204" s="197"/>
      <c r="R204" s="530"/>
      <c r="T204" s="168"/>
    </row>
    <row r="205" spans="1:24" ht="15" customHeight="1">
      <c r="A205" s="494"/>
      <c r="B205" s="210"/>
      <c r="C205" s="185"/>
      <c r="D205" s="185"/>
      <c r="E205" s="185"/>
      <c r="F205" s="185"/>
      <c r="G205" s="185"/>
      <c r="H205" s="203">
        <v>4</v>
      </c>
      <c r="I205" s="510" t="s">
        <v>1</v>
      </c>
      <c r="J205" s="186">
        <v>1.2</v>
      </c>
      <c r="K205" s="510" t="s">
        <v>1</v>
      </c>
      <c r="L205" s="186">
        <v>1.5</v>
      </c>
      <c r="M205" s="504" t="s">
        <v>0</v>
      </c>
      <c r="N205" s="213">
        <f t="shared" si="15"/>
        <v>7.1999999999999993</v>
      </c>
      <c r="O205" s="244" t="s">
        <v>420</v>
      </c>
      <c r="P205" s="184"/>
      <c r="Q205" s="197"/>
      <c r="R205" s="530"/>
      <c r="T205" s="168"/>
    </row>
    <row r="206" spans="1:24" ht="15" customHeight="1">
      <c r="A206" s="494"/>
      <c r="B206" s="210"/>
      <c r="C206" s="185"/>
      <c r="D206" s="185"/>
      <c r="E206" s="185"/>
      <c r="F206" s="185"/>
      <c r="G206" s="185"/>
      <c r="H206" s="203">
        <v>2</v>
      </c>
      <c r="I206" s="510" t="s">
        <v>1</v>
      </c>
      <c r="J206" s="186">
        <v>4.5</v>
      </c>
      <c r="K206" s="510" t="s">
        <v>1</v>
      </c>
      <c r="L206" s="186">
        <v>2.8</v>
      </c>
      <c r="M206" s="504" t="s">
        <v>0</v>
      </c>
      <c r="N206" s="213">
        <f t="shared" si="15"/>
        <v>25.2</v>
      </c>
      <c r="O206" s="244" t="s">
        <v>420</v>
      </c>
      <c r="P206" s="184"/>
      <c r="Q206" s="197"/>
      <c r="R206" s="530"/>
      <c r="T206" s="168"/>
    </row>
    <row r="207" spans="1:24" ht="15" customHeight="1">
      <c r="A207" s="494"/>
      <c r="B207" s="210"/>
      <c r="C207" s="185"/>
      <c r="D207" s="185"/>
      <c r="E207" s="185"/>
      <c r="F207" s="185"/>
      <c r="G207" s="185"/>
      <c r="H207" s="203">
        <v>4</v>
      </c>
      <c r="I207" s="510" t="s">
        <v>1</v>
      </c>
      <c r="J207" s="186">
        <v>1.5</v>
      </c>
      <c r="K207" s="510" t="s">
        <v>1</v>
      </c>
      <c r="L207" s="186">
        <v>2.8</v>
      </c>
      <c r="M207" s="504" t="s">
        <v>0</v>
      </c>
      <c r="N207" s="213">
        <f t="shared" si="15"/>
        <v>16.799999999999997</v>
      </c>
      <c r="O207" s="244" t="s">
        <v>420</v>
      </c>
      <c r="P207" s="184"/>
      <c r="Q207" s="197"/>
      <c r="R207" s="530"/>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0"/>
      <c r="T208" s="168"/>
    </row>
    <row r="209" spans="1:22" ht="15" customHeight="1">
      <c r="A209" s="494"/>
      <c r="B209" s="185"/>
      <c r="C209" s="185"/>
      <c r="D209" s="185"/>
      <c r="E209" s="185"/>
      <c r="F209" s="185"/>
      <c r="G209" s="185"/>
      <c r="H209" s="203">
        <v>3</v>
      </c>
      <c r="I209" s="510" t="s">
        <v>1</v>
      </c>
      <c r="J209" s="186">
        <v>2</v>
      </c>
      <c r="K209" s="510" t="s">
        <v>1</v>
      </c>
      <c r="L209" s="186">
        <v>0.8</v>
      </c>
      <c r="M209" s="190" t="s">
        <v>0</v>
      </c>
      <c r="N209" s="213">
        <f t="shared" ref="N209" si="16">L209*J209*H209</f>
        <v>4.8000000000000007</v>
      </c>
      <c r="O209" s="244" t="s">
        <v>420</v>
      </c>
      <c r="P209" s="184"/>
      <c r="Q209" s="197"/>
      <c r="R209" s="530"/>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0"/>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0"/>
      <c r="T211" s="168"/>
    </row>
    <row r="212" spans="1:22" ht="15" customHeight="1">
      <c r="A212" s="494"/>
      <c r="B212" s="185"/>
      <c r="C212" s="185"/>
      <c r="D212" s="185"/>
      <c r="E212" s="185"/>
      <c r="F212" s="185"/>
      <c r="G212" s="185"/>
      <c r="H212" s="185"/>
      <c r="I212" s="185"/>
      <c r="J212" s="185"/>
      <c r="K212" s="687" t="s">
        <v>8</v>
      </c>
      <c r="L212" s="687"/>
      <c r="M212" s="190" t="s">
        <v>0</v>
      </c>
      <c r="N212" s="204">
        <f>(N201+N202+N203+N204+N205+N206+N207)-(N209-N208+N210+N211)</f>
        <v>219.72</v>
      </c>
      <c r="O212" s="244" t="s">
        <v>423</v>
      </c>
      <c r="P212" s="184"/>
      <c r="Q212" s="197"/>
      <c r="R212" s="530"/>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680">
        <v>818</v>
      </c>
      <c r="M214" s="680"/>
      <c r="N214" s="341" t="s">
        <v>421</v>
      </c>
      <c r="O214" s="294"/>
      <c r="P214" s="190" t="s">
        <v>0</v>
      </c>
      <c r="Q214" s="205" t="s">
        <v>11</v>
      </c>
      <c r="R214" s="521">
        <f>L214*N213</f>
        <v>179730.96</v>
      </c>
    </row>
    <row r="215" spans="1:22">
      <c r="B215" s="185"/>
      <c r="C215" s="185"/>
      <c r="D215" s="185"/>
      <c r="E215" s="182"/>
      <c r="F215" s="182"/>
      <c r="G215" s="182"/>
      <c r="H215" s="182"/>
      <c r="I215" s="182"/>
      <c r="J215" s="193"/>
      <c r="K215" s="363"/>
      <c r="L215" s="363"/>
      <c r="M215" s="363"/>
      <c r="N215" s="365"/>
      <c r="O215" s="294"/>
      <c r="P215" s="190"/>
      <c r="Q215" s="205"/>
      <c r="R215" s="521"/>
    </row>
    <row r="216" spans="1:22" ht="32.25" customHeight="1">
      <c r="A216" s="487" t="s">
        <v>472</v>
      </c>
      <c r="B216" s="690" t="s">
        <v>363</v>
      </c>
      <c r="C216" s="690"/>
      <c r="D216" s="690"/>
      <c r="E216" s="690"/>
      <c r="F216" s="690"/>
      <c r="G216" s="690"/>
      <c r="H216" s="690"/>
      <c r="I216" s="690"/>
      <c r="J216" s="690"/>
      <c r="K216" s="690"/>
      <c r="L216" s="690"/>
      <c r="M216" s="690"/>
      <c r="N216" s="690"/>
      <c r="O216" s="690"/>
      <c r="P216" s="190"/>
      <c r="Q216" s="205"/>
      <c r="R216" s="521"/>
    </row>
    <row r="217" spans="1:22" ht="33.75" customHeight="1">
      <c r="B217" s="699" t="s">
        <v>477</v>
      </c>
      <c r="C217" s="699"/>
      <c r="D217" s="699"/>
      <c r="E217" s="699"/>
      <c r="F217" s="699" t="s">
        <v>424</v>
      </c>
      <c r="G217" s="699"/>
      <c r="H217" s="699"/>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680">
        <v>213</v>
      </c>
      <c r="M220" s="680"/>
      <c r="N220" s="341" t="s">
        <v>421</v>
      </c>
      <c r="O220" s="294"/>
      <c r="P220" s="190" t="s">
        <v>0</v>
      </c>
      <c r="Q220" s="205" t="s">
        <v>11</v>
      </c>
      <c r="R220" s="521">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1"/>
    </row>
    <row r="222" spans="1:22" ht="50.25" customHeight="1">
      <c r="A222" s="487" t="s">
        <v>473</v>
      </c>
      <c r="B222" s="690" t="s">
        <v>364</v>
      </c>
      <c r="C222" s="690"/>
      <c r="D222" s="690"/>
      <c r="E222" s="690"/>
      <c r="F222" s="690"/>
      <c r="G222" s="690"/>
      <c r="H222" s="690"/>
      <c r="I222" s="690"/>
      <c r="J222" s="690"/>
      <c r="K222" s="690"/>
      <c r="L222" s="690"/>
      <c r="M222" s="690"/>
      <c r="N222" s="690"/>
      <c r="O222" s="690"/>
      <c r="P222" s="192"/>
      <c r="Q222" s="205"/>
      <c r="R222" s="521"/>
    </row>
    <row r="223" spans="1:22" ht="18" customHeight="1">
      <c r="A223" s="281"/>
      <c r="B223" s="696" t="s">
        <v>533</v>
      </c>
      <c r="C223" s="696"/>
      <c r="D223" s="696"/>
      <c r="E223" s="696"/>
      <c r="F223" s="696"/>
      <c r="G223" s="205"/>
      <c r="H223" s="192"/>
      <c r="I223" s="238"/>
      <c r="J223" s="239"/>
      <c r="K223" s="237"/>
      <c r="L223" s="191"/>
      <c r="M223" s="191"/>
      <c r="N223" s="240"/>
      <c r="O223" s="294"/>
      <c r="P223" s="190"/>
      <c r="Q223" s="205"/>
      <c r="R223" s="521"/>
      <c r="U223" s="180"/>
      <c r="V223" s="178"/>
    </row>
    <row r="224" spans="1:22" ht="15" customHeight="1">
      <c r="A224" s="495"/>
      <c r="B224" s="695" t="s">
        <v>366</v>
      </c>
      <c r="C224" s="695"/>
      <c r="D224" s="695"/>
      <c r="E224" s="695"/>
      <c r="F224" s="695"/>
      <c r="G224" s="241"/>
      <c r="H224" s="241"/>
      <c r="I224" s="241"/>
      <c r="J224" s="241"/>
      <c r="K224" s="241"/>
      <c r="L224" s="241"/>
      <c r="M224" s="241"/>
      <c r="N224" s="241"/>
      <c r="O224" s="284"/>
      <c r="P224" s="190"/>
      <c r="Q224" s="205"/>
      <c r="R224" s="521"/>
    </row>
    <row r="225" spans="1:18" ht="15" customHeight="1">
      <c r="A225" s="495"/>
      <c r="B225" s="507"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1"/>
    </row>
    <row r="226" spans="1:18" ht="15" customHeight="1">
      <c r="A226" s="495"/>
      <c r="B226" s="507"/>
      <c r="C226" s="507"/>
      <c r="D226" s="507"/>
      <c r="E226" s="507"/>
      <c r="F226" s="203">
        <f>H209</f>
        <v>3</v>
      </c>
      <c r="G226" s="510" t="s">
        <v>1</v>
      </c>
      <c r="H226" s="186">
        <v>2</v>
      </c>
      <c r="I226" s="510" t="s">
        <v>1</v>
      </c>
      <c r="J226" s="186">
        <v>0.8</v>
      </c>
      <c r="K226" s="510" t="s">
        <v>1</v>
      </c>
      <c r="L226" s="186">
        <v>0.15</v>
      </c>
      <c r="M226" s="190" t="s">
        <v>0</v>
      </c>
      <c r="N226" s="213">
        <f>ROUND(F226*H226*J226*L226,2)</f>
        <v>0.72</v>
      </c>
      <c r="O226" s="294" t="s">
        <v>418</v>
      </c>
      <c r="P226" s="190"/>
      <c r="Q226" s="205"/>
      <c r="R226" s="521"/>
    </row>
    <row r="227" spans="1:18" ht="15" customHeight="1">
      <c r="A227" s="495"/>
      <c r="B227" s="695" t="s">
        <v>532</v>
      </c>
      <c r="C227" s="695"/>
      <c r="D227" s="695"/>
      <c r="E227" s="507"/>
      <c r="F227" s="203">
        <f>H210</f>
        <v>10</v>
      </c>
      <c r="G227" s="510" t="s">
        <v>1</v>
      </c>
      <c r="H227" s="186">
        <v>1</v>
      </c>
      <c r="I227" s="510" t="s">
        <v>1</v>
      </c>
      <c r="J227" s="186">
        <v>1.5</v>
      </c>
      <c r="K227" s="510" t="s">
        <v>1</v>
      </c>
      <c r="L227" s="186">
        <v>0.15</v>
      </c>
      <c r="M227" s="190" t="s">
        <v>0</v>
      </c>
      <c r="N227" s="213">
        <f>ROUND(F227*H227*J227*L227,2)</f>
        <v>2.25</v>
      </c>
      <c r="O227" s="294" t="s">
        <v>418</v>
      </c>
      <c r="P227" s="190"/>
      <c r="Q227" s="205"/>
      <c r="R227" s="521"/>
    </row>
    <row r="228" spans="1:18" ht="15" customHeight="1">
      <c r="A228" s="281"/>
      <c r="B228" s="192"/>
      <c r="C228" s="192"/>
      <c r="D228" s="192"/>
      <c r="E228" s="192"/>
      <c r="F228" s="237"/>
      <c r="G228" s="205"/>
      <c r="H228" s="192"/>
      <c r="I228" s="238"/>
      <c r="J228" s="239"/>
      <c r="K228" s="687" t="s">
        <v>8</v>
      </c>
      <c r="L228" s="687"/>
      <c r="M228" s="190" t="s">
        <v>0</v>
      </c>
      <c r="N228" s="204">
        <f>SUM(N225:N227)</f>
        <v>3.6</v>
      </c>
      <c r="O228" s="294" t="s">
        <v>418</v>
      </c>
      <c r="P228" s="190"/>
      <c r="Q228" s="205"/>
      <c r="R228" s="521"/>
    </row>
    <row r="229" spans="1:18" ht="15.75" customHeight="1">
      <c r="A229" s="445"/>
      <c r="B229" s="182"/>
      <c r="C229" s="182"/>
      <c r="D229" s="182"/>
      <c r="E229" s="182"/>
      <c r="F229" s="182"/>
      <c r="G229" s="182"/>
      <c r="H229" s="182"/>
      <c r="I229" s="182"/>
      <c r="J229" s="193" t="s">
        <v>350</v>
      </c>
      <c r="K229" s="344" t="s">
        <v>11</v>
      </c>
      <c r="L229" s="697">
        <v>20613</v>
      </c>
      <c r="M229" s="697"/>
      <c r="N229" s="341" t="s">
        <v>419</v>
      </c>
      <c r="O229" s="294"/>
      <c r="P229" s="184" t="s">
        <v>0</v>
      </c>
      <c r="Q229" s="197" t="s">
        <v>11</v>
      </c>
      <c r="R229" s="530">
        <f>ROUND(N228*L229,0)</f>
        <v>74207</v>
      </c>
    </row>
    <row r="230" spans="1:18" ht="15.75" customHeight="1">
      <c r="A230" s="515"/>
      <c r="B230" s="182"/>
      <c r="C230" s="182"/>
      <c r="D230" s="182"/>
      <c r="E230" s="182"/>
      <c r="F230" s="182"/>
      <c r="G230" s="182"/>
      <c r="H230" s="182"/>
      <c r="I230" s="182"/>
      <c r="J230" s="193"/>
      <c r="K230" s="502"/>
      <c r="L230" s="508"/>
      <c r="M230" s="508"/>
      <c r="N230" s="513"/>
      <c r="O230" s="294"/>
      <c r="P230" s="184"/>
      <c r="Q230" s="197"/>
      <c r="R230" s="530"/>
    </row>
    <row r="231" spans="1:18" ht="15.75" customHeight="1">
      <c r="A231" s="515"/>
      <c r="B231" s="182"/>
      <c r="C231" s="182"/>
      <c r="D231" s="182"/>
      <c r="E231" s="182"/>
      <c r="F231" s="182"/>
      <c r="G231" s="182"/>
      <c r="H231" s="182"/>
      <c r="I231" s="182"/>
      <c r="J231" s="193"/>
      <c r="K231" s="502"/>
      <c r="L231" s="508"/>
      <c r="M231" s="508"/>
      <c r="N231" s="513"/>
      <c r="O231" s="294"/>
      <c r="P231" s="184"/>
      <c r="Q231" s="197"/>
      <c r="R231" s="530"/>
    </row>
    <row r="232" spans="1:18" ht="15.75" customHeight="1">
      <c r="A232" s="515"/>
      <c r="B232" s="182"/>
      <c r="C232" s="182"/>
      <c r="D232" s="182"/>
      <c r="E232" s="182"/>
      <c r="F232" s="182"/>
      <c r="G232" s="182"/>
      <c r="H232" s="182"/>
      <c r="I232" s="182"/>
      <c r="J232" s="193"/>
      <c r="K232" s="502"/>
      <c r="L232" s="508"/>
      <c r="M232" s="508"/>
      <c r="N232" s="513"/>
      <c r="O232" s="294"/>
      <c r="P232" s="184"/>
      <c r="Q232" s="197"/>
      <c r="R232" s="530"/>
    </row>
    <row r="233" spans="1:18" ht="15.75" customHeight="1">
      <c r="A233" s="515"/>
      <c r="B233" s="182"/>
      <c r="C233" s="182"/>
      <c r="D233" s="182"/>
      <c r="E233" s="182"/>
      <c r="F233" s="182"/>
      <c r="G233" s="182"/>
      <c r="H233" s="182"/>
      <c r="I233" s="182"/>
      <c r="J233" s="193"/>
      <c r="K233" s="502"/>
      <c r="L233" s="508"/>
      <c r="M233" s="508"/>
      <c r="N233" s="513"/>
      <c r="O233" s="294"/>
      <c r="P233" s="184"/>
      <c r="Q233" s="197"/>
      <c r="R233" s="530"/>
    </row>
    <row r="234" spans="1:18" ht="15.75" customHeight="1">
      <c r="A234" s="515"/>
      <c r="B234" s="182"/>
      <c r="C234" s="182"/>
      <c r="D234" s="182"/>
      <c r="E234" s="182"/>
      <c r="F234" s="182"/>
      <c r="G234" s="182"/>
      <c r="H234" s="182"/>
      <c r="I234" s="182"/>
      <c r="J234" s="193"/>
      <c r="K234" s="502"/>
      <c r="L234" s="508"/>
      <c r="M234" s="508"/>
      <c r="N234" s="513"/>
      <c r="O234" s="294"/>
      <c r="P234" s="184"/>
      <c r="Q234" s="197"/>
      <c r="R234" s="530"/>
    </row>
    <row r="235" spans="1:18" ht="15.75" customHeight="1">
      <c r="A235" s="515"/>
      <c r="B235" s="182"/>
      <c r="C235" s="182"/>
      <c r="D235" s="182"/>
      <c r="E235" s="182"/>
      <c r="F235" s="182"/>
      <c r="G235" s="182"/>
      <c r="H235" s="182"/>
      <c r="I235" s="182"/>
      <c r="J235" s="193"/>
      <c r="K235" s="502"/>
      <c r="L235" s="508"/>
      <c r="M235" s="508"/>
      <c r="N235" s="513"/>
      <c r="O235" s="294"/>
      <c r="P235" s="184"/>
      <c r="Q235" s="197"/>
      <c r="R235" s="530"/>
    </row>
    <row r="236" spans="1:18" ht="15.75" customHeight="1">
      <c r="A236" s="515"/>
      <c r="B236" s="182"/>
      <c r="C236" s="182"/>
      <c r="D236" s="182"/>
      <c r="E236" s="182"/>
      <c r="F236" s="182"/>
      <c r="G236" s="182"/>
      <c r="H236" s="182"/>
      <c r="I236" s="182"/>
      <c r="J236" s="193"/>
      <c r="K236" s="502"/>
      <c r="L236" s="508"/>
      <c r="M236" s="508"/>
      <c r="N236" s="513"/>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5"/>
      <c r="B238" s="182"/>
      <c r="C238" s="182"/>
      <c r="D238" s="182"/>
      <c r="E238" s="182"/>
      <c r="F238" s="182"/>
      <c r="G238" s="182"/>
      <c r="H238" s="182"/>
      <c r="I238" s="182"/>
      <c r="J238" s="193"/>
      <c r="K238" s="502"/>
      <c r="L238" s="508"/>
      <c r="M238" s="508"/>
      <c r="N238" s="513"/>
      <c r="O238" s="281"/>
      <c r="P238" s="251"/>
      <c r="Q238" s="252"/>
      <c r="R238" s="273"/>
    </row>
    <row r="239" spans="1:18" ht="15.75" customHeight="1">
      <c r="A239" s="515"/>
      <c r="B239" s="182"/>
      <c r="C239" s="182"/>
      <c r="D239" s="182"/>
      <c r="E239" s="182"/>
      <c r="F239" s="182"/>
      <c r="G239" s="182"/>
      <c r="H239" s="182"/>
      <c r="I239" s="182"/>
      <c r="J239" s="193"/>
      <c r="K239" s="502"/>
      <c r="L239" s="508"/>
      <c r="M239" s="508"/>
      <c r="N239" s="513"/>
      <c r="O239" s="281"/>
      <c r="P239" s="251"/>
      <c r="Q239" s="252"/>
      <c r="R239" s="273"/>
    </row>
    <row r="240" spans="1:18" ht="46.5" customHeight="1">
      <c r="A240" s="487" t="s">
        <v>474</v>
      </c>
      <c r="B240" s="690" t="s">
        <v>367</v>
      </c>
      <c r="C240" s="690"/>
      <c r="D240" s="690"/>
      <c r="E240" s="690"/>
      <c r="F240" s="690"/>
      <c r="G240" s="690"/>
      <c r="H240" s="690"/>
      <c r="I240" s="690"/>
      <c r="J240" s="690"/>
      <c r="K240" s="690"/>
      <c r="L240" s="690"/>
      <c r="M240" s="690"/>
      <c r="N240" s="690"/>
      <c r="O240" s="690"/>
      <c r="P240" s="192"/>
      <c r="Q240" s="205"/>
      <c r="R240" s="521"/>
    </row>
    <row r="241" spans="1:29" ht="15.75" customHeight="1">
      <c r="A241" s="494"/>
      <c r="B241" s="696" t="s">
        <v>533</v>
      </c>
      <c r="C241" s="696"/>
      <c r="D241" s="696"/>
      <c r="E241" s="696"/>
      <c r="F241" s="696"/>
      <c r="G241" s="368"/>
      <c r="H241" s="368"/>
      <c r="I241" s="346"/>
      <c r="J241" s="346"/>
      <c r="K241" s="346"/>
      <c r="L241" s="346"/>
      <c r="M241" s="346"/>
      <c r="N241" s="346"/>
      <c r="O241" s="347"/>
      <c r="P241" s="192"/>
      <c r="Q241" s="205"/>
      <c r="R241" s="521"/>
      <c r="U241" s="181"/>
    </row>
    <row r="242" spans="1:29" ht="15.75" customHeight="1">
      <c r="A242" s="281"/>
      <c r="B242" s="695" t="s">
        <v>366</v>
      </c>
      <c r="C242" s="695"/>
      <c r="D242" s="695"/>
      <c r="E242" s="695"/>
      <c r="F242" s="695"/>
      <c r="G242" s="243"/>
      <c r="H242" s="426"/>
      <c r="I242" s="342"/>
      <c r="J242" s="186"/>
      <c r="K242" s="342"/>
      <c r="L242" s="186"/>
      <c r="M242" s="190"/>
      <c r="N242" s="213"/>
      <c r="O242" s="265"/>
      <c r="P242" s="192"/>
      <c r="Q242" s="205"/>
      <c r="R242" s="521"/>
    </row>
    <row r="243" spans="1:29" ht="15" customHeight="1">
      <c r="A243" s="495"/>
      <c r="B243" s="507" t="s">
        <v>531</v>
      </c>
      <c r="C243" s="507"/>
      <c r="D243" s="507"/>
      <c r="E243" s="507"/>
      <c r="F243" s="203">
        <v>2</v>
      </c>
      <c r="G243" s="510" t="s">
        <v>1</v>
      </c>
      <c r="H243" s="186">
        <v>2.1</v>
      </c>
      <c r="I243" s="510" t="s">
        <v>1</v>
      </c>
      <c r="J243" s="186">
        <v>1</v>
      </c>
      <c r="K243" s="510" t="s">
        <v>1</v>
      </c>
      <c r="L243" s="186">
        <v>1</v>
      </c>
      <c r="M243" s="190" t="s">
        <v>0</v>
      </c>
      <c r="N243" s="213">
        <f>ROUND(F243*H243*J243*L243,2)</f>
        <v>4.2</v>
      </c>
      <c r="O243" s="294" t="s">
        <v>418</v>
      </c>
      <c r="P243" s="190"/>
      <c r="Q243" s="205"/>
      <c r="R243" s="521"/>
    </row>
    <row r="244" spans="1:29" ht="15" customHeight="1">
      <c r="A244" s="495"/>
      <c r="B244" s="507"/>
      <c r="C244" s="507"/>
      <c r="D244" s="507"/>
      <c r="E244" s="507"/>
      <c r="F244" s="203">
        <v>3</v>
      </c>
      <c r="G244" s="510" t="s">
        <v>1</v>
      </c>
      <c r="H244" s="186">
        <v>2</v>
      </c>
      <c r="I244" s="510" t="s">
        <v>1</v>
      </c>
      <c r="J244" s="186">
        <v>0.8</v>
      </c>
      <c r="K244" s="510" t="s">
        <v>1</v>
      </c>
      <c r="L244" s="186">
        <v>1</v>
      </c>
      <c r="M244" s="188" t="s">
        <v>0</v>
      </c>
      <c r="N244" s="189">
        <f>ROUND(F244*H244*J244*L244,2)</f>
        <v>4.8</v>
      </c>
      <c r="O244" s="278" t="s">
        <v>418</v>
      </c>
      <c r="P244" s="190"/>
      <c r="Q244" s="205"/>
      <c r="R244" s="521"/>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1"/>
    </row>
    <row r="246" spans="1:29" ht="15.75" customHeight="1">
      <c r="A246" s="445"/>
      <c r="B246" s="182"/>
      <c r="C246" s="182"/>
      <c r="D246" s="182"/>
      <c r="E246" s="182"/>
      <c r="F246" s="182"/>
      <c r="G246" s="182"/>
      <c r="H246" s="182"/>
      <c r="I246" s="182"/>
      <c r="J246" s="193" t="s">
        <v>350</v>
      </c>
      <c r="K246" s="344" t="s">
        <v>11</v>
      </c>
      <c r="L246" s="680">
        <v>1859</v>
      </c>
      <c r="M246" s="680"/>
      <c r="N246" s="341" t="s">
        <v>421</v>
      </c>
      <c r="O246" s="294"/>
      <c r="P246" s="184" t="s">
        <v>0</v>
      </c>
      <c r="Q246" s="197" t="s">
        <v>11</v>
      </c>
      <c r="R246" s="530">
        <f>L246*N245</f>
        <v>16731</v>
      </c>
    </row>
    <row r="247" spans="1:29" ht="15.75" customHeight="1">
      <c r="A247" s="515"/>
      <c r="B247" s="182"/>
      <c r="C247" s="182"/>
      <c r="D247" s="182"/>
      <c r="E247" s="182"/>
      <c r="F247" s="182"/>
      <c r="G247" s="182"/>
      <c r="H247" s="182"/>
      <c r="I247" s="182"/>
      <c r="J247" s="193"/>
      <c r="K247" s="502"/>
      <c r="L247" s="502"/>
      <c r="M247" s="502"/>
      <c r="N247" s="513"/>
      <c r="O247" s="294"/>
      <c r="P247" s="184"/>
      <c r="Q247" s="197"/>
      <c r="R247" s="530"/>
    </row>
    <row r="248" spans="1:29" ht="15.75" customHeight="1">
      <c r="A248" s="515"/>
      <c r="B248" s="182"/>
      <c r="C248" s="182"/>
      <c r="D248" s="182"/>
      <c r="E248" s="182"/>
      <c r="F248" s="182"/>
      <c r="G248" s="182"/>
      <c r="H248" s="182"/>
      <c r="I248" s="182"/>
      <c r="J248" s="193"/>
      <c r="K248" s="502"/>
      <c r="L248" s="502"/>
      <c r="M248" s="502"/>
      <c r="N248" s="513"/>
      <c r="O248" s="294"/>
      <c r="P248" s="184"/>
      <c r="Q248" s="197"/>
      <c r="R248" s="530"/>
    </row>
    <row r="249" spans="1:29" ht="15.75" customHeight="1">
      <c r="A249" s="445"/>
      <c r="B249" s="182"/>
      <c r="C249" s="182"/>
      <c r="D249" s="182"/>
      <c r="E249" s="182"/>
      <c r="F249" s="182"/>
      <c r="G249" s="182"/>
      <c r="H249" s="182"/>
      <c r="I249" s="182"/>
      <c r="J249" s="193"/>
      <c r="K249" s="401"/>
      <c r="L249" s="401"/>
      <c r="M249" s="401"/>
      <c r="N249" s="400"/>
      <c r="O249" s="294"/>
      <c r="P249" s="184"/>
      <c r="Q249" s="197"/>
      <c r="R249" s="530"/>
    </row>
    <row r="250" spans="1:29" ht="83.25" customHeight="1">
      <c r="A250" s="487" t="s">
        <v>475</v>
      </c>
      <c r="B250" s="690" t="s">
        <v>413</v>
      </c>
      <c r="C250" s="690"/>
      <c r="D250" s="690"/>
      <c r="E250" s="690"/>
      <c r="F250" s="690"/>
      <c r="G250" s="690"/>
      <c r="H250" s="690"/>
      <c r="I250" s="690"/>
      <c r="J250" s="690"/>
      <c r="K250" s="690"/>
      <c r="L250" s="690"/>
      <c r="M250" s="690"/>
      <c r="N250" s="690"/>
      <c r="O250" s="690"/>
      <c r="P250" s="192"/>
      <c r="Q250" s="205"/>
      <c r="R250" s="521"/>
    </row>
    <row r="251" spans="1:29" ht="15.75" customHeight="1">
      <c r="A251" s="494"/>
      <c r="B251" s="684" t="s">
        <v>372</v>
      </c>
      <c r="C251" s="684"/>
      <c r="D251" s="684"/>
      <c r="E251" s="684"/>
      <c r="F251" s="302"/>
      <c r="G251" s="302"/>
      <c r="H251" s="302"/>
      <c r="I251" s="346"/>
      <c r="J251" s="346"/>
      <c r="K251" s="346"/>
      <c r="L251" s="346"/>
      <c r="M251" s="346"/>
      <c r="N251" s="346"/>
      <c r="O251" s="347"/>
      <c r="P251" s="192"/>
      <c r="Q251" s="205"/>
      <c r="R251" s="521"/>
      <c r="AC251" s="498"/>
    </row>
    <row r="252" spans="1:29" ht="15.75" customHeight="1">
      <c r="B252" s="692" t="s">
        <v>511</v>
      </c>
      <c r="C252" s="692"/>
      <c r="D252" s="692"/>
      <c r="E252" s="692"/>
      <c r="F252" s="692"/>
      <c r="G252" s="692"/>
      <c r="H252" s="231"/>
      <c r="I252" s="448"/>
      <c r="J252" s="187"/>
      <c r="K252" s="448"/>
      <c r="L252" s="187"/>
      <c r="M252" s="190"/>
      <c r="N252" s="213"/>
      <c r="O252" s="265"/>
      <c r="P252" s="200"/>
      <c r="Q252" s="185"/>
    </row>
    <row r="253" spans="1:29" ht="15" customHeight="1">
      <c r="A253" s="495"/>
      <c r="B253" s="692"/>
      <c r="C253" s="692"/>
      <c r="D253" s="692"/>
      <c r="E253" s="692"/>
      <c r="F253" s="692"/>
      <c r="G253" s="692"/>
      <c r="H253" s="203">
        <f>H210</f>
        <v>10</v>
      </c>
      <c r="I253" s="452" t="s">
        <v>1</v>
      </c>
      <c r="J253" s="186">
        <v>1.2</v>
      </c>
      <c r="K253" s="452" t="s">
        <v>1</v>
      </c>
      <c r="L253" s="186">
        <v>1.5</v>
      </c>
      <c r="M253" s="190" t="s">
        <v>0</v>
      </c>
      <c r="N253" s="213">
        <f t="shared" ref="N253" si="17">L253*J253*H253</f>
        <v>18</v>
      </c>
      <c r="O253" s="244" t="s">
        <v>420</v>
      </c>
      <c r="P253" s="190"/>
      <c r="Q253" s="205"/>
      <c r="R253" s="521"/>
    </row>
    <row r="254" spans="1:29" ht="15" customHeight="1">
      <c r="A254" s="495"/>
      <c r="B254" s="692"/>
      <c r="C254" s="692"/>
      <c r="D254" s="692"/>
      <c r="E254" s="692"/>
      <c r="F254" s="692"/>
      <c r="G254" s="692"/>
      <c r="H254" s="203"/>
      <c r="I254" s="452"/>
      <c r="J254" s="186"/>
      <c r="K254" s="452"/>
      <c r="L254" s="186"/>
      <c r="M254" s="190"/>
      <c r="N254" s="213"/>
      <c r="O254" s="244"/>
      <c r="P254" s="190"/>
      <c r="Q254" s="205"/>
      <c r="R254" s="521"/>
    </row>
    <row r="255" spans="1:29" ht="15" customHeight="1">
      <c r="A255" s="495"/>
      <c r="B255" s="692"/>
      <c r="C255" s="692"/>
      <c r="D255" s="692"/>
      <c r="E255" s="692"/>
      <c r="F255" s="692"/>
      <c r="G255" s="692"/>
      <c r="H255" s="203"/>
      <c r="I255" s="452"/>
      <c r="J255" s="186"/>
      <c r="K255" s="452"/>
      <c r="L255" s="186"/>
      <c r="M255" s="188"/>
      <c r="N255" s="189"/>
      <c r="O255" s="244"/>
      <c r="P255" s="190"/>
      <c r="Q255" s="205"/>
      <c r="R255" s="521"/>
    </row>
    <row r="256" spans="1:29" ht="15.75" customHeight="1">
      <c r="B256" s="692"/>
      <c r="C256" s="692"/>
      <c r="D256" s="692"/>
      <c r="E256" s="692"/>
      <c r="F256" s="692"/>
      <c r="G256" s="692"/>
      <c r="H256" s="185"/>
      <c r="I256" s="185"/>
      <c r="J256" s="185"/>
      <c r="K256" s="687" t="s">
        <v>8</v>
      </c>
      <c r="L256" s="687"/>
      <c r="M256" s="190" t="s">
        <v>0</v>
      </c>
      <c r="N256" s="204">
        <f>SUM(N253:N255)</f>
        <v>18</v>
      </c>
      <c r="O256" s="244" t="s">
        <v>420</v>
      </c>
      <c r="P256" s="185"/>
      <c r="Q256" s="185"/>
      <c r="AC256" s="397"/>
    </row>
    <row r="257" spans="1:18" ht="15.75" customHeight="1">
      <c r="A257" s="445"/>
      <c r="B257" s="692"/>
      <c r="C257" s="692"/>
      <c r="D257" s="692"/>
      <c r="E257" s="692"/>
      <c r="F257" s="692"/>
      <c r="G257" s="692"/>
      <c r="H257" s="182"/>
      <c r="I257" s="182"/>
      <c r="J257" s="193" t="s">
        <v>350</v>
      </c>
      <c r="K257" s="344" t="s">
        <v>11</v>
      </c>
      <c r="L257" s="680">
        <v>1932</v>
      </c>
      <c r="M257" s="680"/>
      <c r="N257" s="341" t="s">
        <v>421</v>
      </c>
      <c r="O257" s="294"/>
      <c r="P257" s="190" t="s">
        <v>0</v>
      </c>
      <c r="Q257" s="205" t="s">
        <v>11</v>
      </c>
      <c r="R257" s="521">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1"/>
    </row>
    <row r="259" spans="1:18" ht="15.75" customHeight="1">
      <c r="A259" s="515"/>
      <c r="B259" s="506"/>
      <c r="C259" s="506"/>
      <c r="D259" s="506"/>
      <c r="E259" s="506"/>
      <c r="F259" s="506"/>
      <c r="G259" s="506"/>
      <c r="H259" s="182"/>
      <c r="I259" s="182"/>
      <c r="J259" s="193"/>
      <c r="K259" s="502"/>
      <c r="L259" s="502"/>
      <c r="M259" s="502"/>
      <c r="N259" s="513"/>
      <c r="O259" s="294"/>
      <c r="P259" s="190"/>
      <c r="Q259" s="205"/>
      <c r="R259" s="521"/>
    </row>
    <row r="260" spans="1:18" ht="15.75" customHeight="1">
      <c r="A260" s="445"/>
      <c r="B260" s="399"/>
      <c r="C260" s="399"/>
      <c r="D260" s="399"/>
      <c r="E260" s="399"/>
      <c r="F260" s="399"/>
      <c r="G260" s="399"/>
      <c r="H260" s="182"/>
      <c r="I260" s="182"/>
      <c r="J260" s="193"/>
      <c r="K260" s="401"/>
      <c r="L260" s="401"/>
      <c r="M260" s="401"/>
      <c r="N260" s="400"/>
      <c r="O260" s="294"/>
      <c r="P260" s="190"/>
      <c r="Q260" s="205"/>
      <c r="R260" s="521"/>
    </row>
    <row r="261" spans="1:18" ht="15" customHeight="1">
      <c r="A261" s="726" t="s">
        <v>476</v>
      </c>
      <c r="B261" s="689" t="s">
        <v>414</v>
      </c>
      <c r="C261" s="689"/>
      <c r="D261" s="689"/>
      <c r="E261" s="689"/>
      <c r="F261" s="689"/>
      <c r="G261" s="689"/>
      <c r="H261" s="689"/>
      <c r="I261" s="689"/>
      <c r="J261" s="689"/>
      <c r="K261" s="689"/>
      <c r="L261" s="689"/>
      <c r="M261" s="689"/>
      <c r="N261" s="689"/>
      <c r="O261" s="279"/>
      <c r="P261" s="207"/>
      <c r="Q261" s="208"/>
      <c r="R261" s="273"/>
    </row>
    <row r="262" spans="1:18" ht="31.5" customHeight="1">
      <c r="A262" s="726"/>
      <c r="B262" s="689"/>
      <c r="C262" s="689"/>
      <c r="D262" s="689"/>
      <c r="E262" s="689"/>
      <c r="F262" s="689"/>
      <c r="G262" s="689"/>
      <c r="H262" s="689"/>
      <c r="I262" s="689"/>
      <c r="J262" s="689"/>
      <c r="K262" s="689"/>
      <c r="L262" s="689"/>
      <c r="M262" s="689"/>
      <c r="N262" s="689"/>
      <c r="O262" s="279"/>
      <c r="P262" s="207"/>
      <c r="Q262" s="208"/>
      <c r="R262" s="273"/>
    </row>
    <row r="263" spans="1:18" ht="15" customHeight="1">
      <c r="A263" s="445"/>
      <c r="B263" s="699" t="s">
        <v>372</v>
      </c>
      <c r="C263" s="699"/>
      <c r="D263" s="699"/>
      <c r="E263" s="699"/>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687" t="s">
        <v>8</v>
      </c>
      <c r="L265" s="687"/>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680">
        <v>1240</v>
      </c>
      <c r="M266" s="680"/>
      <c r="N266" s="341" t="s">
        <v>421</v>
      </c>
      <c r="O266" s="294"/>
      <c r="P266" s="190" t="s">
        <v>0</v>
      </c>
      <c r="Q266" s="205" t="s">
        <v>11</v>
      </c>
      <c r="R266" s="521">
        <f>ROUND(N265*L266,0)</f>
        <v>18600</v>
      </c>
    </row>
    <row r="267" spans="1:18" ht="15" customHeight="1">
      <c r="A267" s="515"/>
      <c r="B267" s="182"/>
      <c r="C267" s="182"/>
      <c r="D267" s="182"/>
      <c r="E267" s="182"/>
      <c r="F267" s="182"/>
      <c r="G267" s="182"/>
      <c r="H267" s="182"/>
      <c r="I267" s="182"/>
      <c r="J267" s="193"/>
      <c r="K267" s="502"/>
      <c r="L267" s="502"/>
      <c r="M267" s="502"/>
      <c r="N267" s="513"/>
      <c r="O267" s="294"/>
      <c r="P267" s="190"/>
      <c r="Q267" s="205"/>
      <c r="R267" s="521"/>
    </row>
    <row r="268" spans="1:18" ht="15" customHeight="1">
      <c r="A268" s="515"/>
      <c r="B268" s="182"/>
      <c r="C268" s="182"/>
      <c r="D268" s="182"/>
      <c r="E268" s="182"/>
      <c r="F268" s="182"/>
      <c r="G268" s="182"/>
      <c r="H268" s="182"/>
      <c r="I268" s="182"/>
      <c r="J268" s="193"/>
      <c r="K268" s="502"/>
      <c r="L268" s="502"/>
      <c r="M268" s="502"/>
      <c r="N268" s="513"/>
      <c r="O268" s="294"/>
      <c r="P268" s="190"/>
      <c r="Q268" s="205"/>
      <c r="R268" s="521"/>
    </row>
    <row r="269" spans="1:18" ht="15" customHeight="1">
      <c r="A269" s="515"/>
      <c r="B269" s="182"/>
      <c r="C269" s="182"/>
      <c r="D269" s="182"/>
      <c r="E269" s="182"/>
      <c r="F269" s="182"/>
      <c r="G269" s="182"/>
      <c r="H269" s="182"/>
      <c r="I269" s="182"/>
      <c r="J269" s="193"/>
      <c r="K269" s="502"/>
      <c r="L269" s="502"/>
      <c r="M269" s="502"/>
      <c r="N269" s="513"/>
      <c r="O269" s="294"/>
      <c r="P269" s="190"/>
      <c r="Q269" s="205"/>
      <c r="R269" s="521"/>
    </row>
    <row r="270" spans="1:18" ht="15" customHeight="1">
      <c r="A270" s="515"/>
      <c r="B270" s="182"/>
      <c r="C270" s="182"/>
      <c r="D270" s="182"/>
      <c r="E270" s="182"/>
      <c r="F270" s="182"/>
      <c r="G270" s="182"/>
      <c r="H270" s="182"/>
      <c r="I270" s="182"/>
      <c r="J270" s="193"/>
      <c r="K270" s="502"/>
      <c r="L270" s="502"/>
      <c r="M270" s="502"/>
      <c r="N270" s="513"/>
      <c r="O270" s="294"/>
      <c r="P270" s="190"/>
      <c r="Q270" s="205"/>
      <c r="R270" s="521"/>
    </row>
    <row r="271" spans="1:18" ht="15" customHeight="1">
      <c r="A271" s="515"/>
      <c r="B271" s="182"/>
      <c r="C271" s="182"/>
      <c r="D271" s="182"/>
      <c r="E271" s="182"/>
      <c r="F271" s="182"/>
      <c r="G271" s="182"/>
      <c r="H271" s="182"/>
      <c r="I271" s="182"/>
      <c r="J271" s="193"/>
      <c r="K271" s="502"/>
      <c r="L271" s="502"/>
      <c r="M271" s="502"/>
      <c r="N271" s="513"/>
      <c r="O271" s="294"/>
      <c r="P271" s="190"/>
      <c r="Q271" s="205"/>
      <c r="R271" s="521"/>
    </row>
    <row r="272" spans="1:18" ht="15" customHeight="1">
      <c r="A272" s="515"/>
      <c r="B272" s="182"/>
      <c r="C272" s="182"/>
      <c r="D272" s="182"/>
      <c r="E272" s="182"/>
      <c r="F272" s="182"/>
      <c r="G272" s="182"/>
      <c r="H272" s="182"/>
      <c r="I272" s="182"/>
      <c r="J272" s="193"/>
      <c r="K272" s="502"/>
      <c r="L272" s="502"/>
      <c r="M272" s="502"/>
      <c r="N272" s="513"/>
      <c r="O272" s="294"/>
      <c r="P272" s="190"/>
      <c r="Q272" s="205"/>
      <c r="R272" s="521"/>
    </row>
    <row r="273" spans="1:18" ht="15" customHeight="1">
      <c r="A273" s="515"/>
      <c r="B273" s="182"/>
      <c r="C273" s="182"/>
      <c r="D273" s="182"/>
      <c r="E273" s="182"/>
      <c r="F273" s="182"/>
      <c r="G273" s="182"/>
      <c r="H273" s="182"/>
      <c r="I273" s="182"/>
      <c r="J273" s="193"/>
      <c r="K273" s="502"/>
      <c r="L273" s="502"/>
      <c r="M273" s="502"/>
      <c r="N273" s="513"/>
      <c r="O273" s="294"/>
      <c r="P273" s="190"/>
      <c r="Q273" s="205"/>
      <c r="R273" s="521"/>
    </row>
    <row r="274" spans="1:18" ht="15" customHeight="1">
      <c r="A274" s="515"/>
      <c r="B274" s="182"/>
      <c r="C274" s="182"/>
      <c r="D274" s="182"/>
      <c r="E274" s="182"/>
      <c r="F274" s="182"/>
      <c r="G274" s="182"/>
      <c r="H274" s="182"/>
      <c r="I274" s="182"/>
      <c r="J274" s="193"/>
      <c r="K274" s="502"/>
      <c r="L274" s="502"/>
      <c r="M274" s="502"/>
      <c r="N274" s="513"/>
      <c r="O274" s="294"/>
      <c r="P274" s="190"/>
      <c r="Q274" s="205"/>
      <c r="R274" s="521"/>
    </row>
    <row r="275" spans="1:18" ht="15" customHeight="1">
      <c r="A275" s="515"/>
      <c r="B275" s="182"/>
      <c r="C275" s="182"/>
      <c r="D275" s="182"/>
      <c r="E275" s="182"/>
      <c r="F275" s="182"/>
      <c r="G275" s="182"/>
      <c r="H275" s="182"/>
      <c r="I275" s="182"/>
      <c r="J275" s="193"/>
      <c r="K275" s="502"/>
      <c r="L275" s="502"/>
      <c r="M275" s="502"/>
      <c r="N275" s="513"/>
      <c r="O275" s="294"/>
      <c r="P275" s="190"/>
      <c r="Q275" s="205"/>
      <c r="R275" s="521"/>
    </row>
    <row r="276" spans="1:18" ht="15" customHeight="1">
      <c r="A276" s="515"/>
      <c r="B276" s="182"/>
      <c r="C276" s="182"/>
      <c r="D276" s="182"/>
      <c r="E276" s="182"/>
      <c r="F276" s="182"/>
      <c r="G276" s="182"/>
      <c r="H276" s="182"/>
      <c r="I276" s="182"/>
      <c r="J276" s="193"/>
      <c r="K276" s="502"/>
      <c r="L276" s="502"/>
      <c r="M276" s="502"/>
      <c r="N276" s="513"/>
      <c r="O276" s="294"/>
      <c r="P276" s="190"/>
      <c r="Q276" s="205"/>
      <c r="R276" s="521"/>
    </row>
    <row r="277" spans="1:18" ht="15" customHeight="1">
      <c r="A277" s="515"/>
      <c r="B277" s="182"/>
      <c r="C277" s="182"/>
      <c r="D277" s="182"/>
      <c r="E277" s="182"/>
      <c r="F277" s="182"/>
      <c r="G277" s="182"/>
      <c r="H277" s="182"/>
      <c r="I277" s="182"/>
      <c r="J277" s="193"/>
      <c r="K277" s="502"/>
      <c r="L277" s="502"/>
      <c r="M277" s="502"/>
      <c r="N277" s="513"/>
      <c r="O277" s="294"/>
      <c r="P277" s="190"/>
      <c r="Q277" s="205"/>
      <c r="R277" s="521"/>
    </row>
    <row r="278" spans="1:18" ht="15" customHeight="1">
      <c r="A278" s="515"/>
      <c r="B278" s="182"/>
      <c r="C278" s="182"/>
      <c r="D278" s="182"/>
      <c r="E278" s="182"/>
      <c r="F278" s="182"/>
      <c r="G278" s="182"/>
      <c r="H278" s="182"/>
      <c r="I278" s="182"/>
      <c r="J278" s="193"/>
      <c r="K278" s="502"/>
      <c r="L278" s="502"/>
      <c r="M278" s="502"/>
      <c r="N278" s="513"/>
      <c r="O278" s="294"/>
      <c r="P278" s="190"/>
      <c r="Q278" s="205"/>
      <c r="R278" s="521"/>
    </row>
    <row r="279" spans="1:18" ht="15" customHeight="1">
      <c r="A279" s="515"/>
      <c r="B279" s="182"/>
      <c r="C279" s="182"/>
      <c r="D279" s="182"/>
      <c r="E279" s="182"/>
      <c r="F279" s="182"/>
      <c r="G279" s="182"/>
      <c r="H279" s="182"/>
      <c r="I279" s="182"/>
      <c r="J279" s="193"/>
      <c r="K279" s="502"/>
      <c r="L279" s="502"/>
      <c r="M279" s="502"/>
      <c r="N279" s="513"/>
      <c r="O279" s="294"/>
      <c r="P279" s="190"/>
      <c r="Q279" s="205"/>
      <c r="R279" s="521"/>
    </row>
    <row r="280" spans="1:18" ht="15" customHeight="1">
      <c r="A280" s="515"/>
      <c r="B280" s="182"/>
      <c r="C280" s="182"/>
      <c r="D280" s="182"/>
      <c r="E280" s="182"/>
      <c r="F280" s="182"/>
      <c r="G280" s="182"/>
      <c r="H280" s="182"/>
      <c r="I280" s="182"/>
      <c r="J280" s="193"/>
      <c r="K280" s="502"/>
      <c r="L280" s="502"/>
      <c r="M280" s="502"/>
      <c r="N280" s="513"/>
      <c r="O280" s="281" t="s">
        <v>24</v>
      </c>
      <c r="P280" s="251" t="s">
        <v>0</v>
      </c>
      <c r="Q280" s="252" t="s">
        <v>11</v>
      </c>
      <c r="R280" s="273">
        <f>SUM(R237:R279)</f>
        <v>5880758.3454623995</v>
      </c>
    </row>
    <row r="281" spans="1:18" ht="15" customHeight="1">
      <c r="A281" s="515"/>
      <c r="B281" s="182"/>
      <c r="C281" s="182"/>
      <c r="D281" s="182"/>
      <c r="E281" s="182"/>
      <c r="F281" s="182"/>
      <c r="G281" s="182"/>
      <c r="H281" s="182"/>
      <c r="I281" s="182"/>
      <c r="J281" s="193"/>
      <c r="K281" s="502"/>
      <c r="L281" s="502"/>
      <c r="M281" s="502"/>
      <c r="N281" s="513"/>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1"/>
    </row>
    <row r="283" spans="1:18" ht="15" customHeight="1">
      <c r="A283" s="515"/>
      <c r="B283" s="182"/>
      <c r="C283" s="182"/>
      <c r="D283" s="182"/>
      <c r="E283" s="182"/>
      <c r="F283" s="182"/>
      <c r="G283" s="182"/>
      <c r="H283" s="182"/>
      <c r="I283" s="182"/>
      <c r="J283" s="193"/>
      <c r="K283" s="502"/>
      <c r="L283" s="502"/>
      <c r="M283" s="502"/>
      <c r="N283" s="513"/>
      <c r="O283" s="294"/>
      <c r="P283" s="190"/>
      <c r="Q283" s="205"/>
      <c r="R283" s="521"/>
    </row>
    <row r="284" spans="1:18" ht="15" customHeight="1">
      <c r="A284" s="726" t="s">
        <v>483</v>
      </c>
      <c r="B284" s="689" t="s">
        <v>415</v>
      </c>
      <c r="C284" s="689"/>
      <c r="D284" s="689"/>
      <c r="E284" s="689"/>
      <c r="F284" s="689"/>
      <c r="G284" s="689"/>
      <c r="H284" s="689"/>
      <c r="I284" s="689"/>
      <c r="J284" s="689"/>
      <c r="K284" s="689"/>
      <c r="L284" s="689"/>
      <c r="M284" s="689"/>
      <c r="N284" s="689"/>
      <c r="O284" s="689"/>
      <c r="P284" s="190"/>
      <c r="Q284" s="205"/>
      <c r="R284" s="521"/>
    </row>
    <row r="285" spans="1:18" ht="30.75" customHeight="1">
      <c r="A285" s="726"/>
      <c r="B285" s="689"/>
      <c r="C285" s="689"/>
      <c r="D285" s="689"/>
      <c r="E285" s="689"/>
      <c r="F285" s="689"/>
      <c r="G285" s="689"/>
      <c r="H285" s="689"/>
      <c r="I285" s="689"/>
      <c r="J285" s="689"/>
      <c r="K285" s="689"/>
      <c r="L285" s="689"/>
      <c r="M285" s="689"/>
      <c r="N285" s="689"/>
      <c r="O285" s="689"/>
      <c r="P285" s="190"/>
      <c r="Q285" s="205"/>
      <c r="R285" s="521"/>
    </row>
    <row r="286" spans="1:18" ht="15" customHeight="1">
      <c r="A286" s="445"/>
      <c r="B286" s="685" t="s">
        <v>512</v>
      </c>
      <c r="C286" s="685"/>
      <c r="D286" s="685"/>
      <c r="E286" s="685"/>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687" t="s">
        <v>8</v>
      </c>
      <c r="L287" s="687"/>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680">
        <v>166</v>
      </c>
      <c r="M288" s="680"/>
      <c r="N288" s="341" t="s">
        <v>421</v>
      </c>
      <c r="O288" s="294"/>
      <c r="P288" s="188" t="s">
        <v>0</v>
      </c>
      <c r="Q288" s="247" t="s">
        <v>11</v>
      </c>
      <c r="R288" s="533">
        <f>ROUND(N287*L288,0)</f>
        <v>72947</v>
      </c>
    </row>
    <row r="289" spans="1:30" ht="15" customHeight="1">
      <c r="A289" s="445"/>
      <c r="B289" s="182"/>
      <c r="C289" s="182"/>
      <c r="D289" s="182"/>
      <c r="E289" s="182"/>
      <c r="F289" s="182"/>
      <c r="G289" s="182"/>
      <c r="H289" s="182"/>
      <c r="I289" s="182"/>
      <c r="J289" s="193"/>
      <c r="K289" s="344"/>
      <c r="L289" s="344"/>
      <c r="M289" s="344"/>
      <c r="N289" s="681" t="s">
        <v>369</v>
      </c>
      <c r="O289" s="681"/>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681" t="s">
        <v>351</v>
      </c>
      <c r="O290" s="681"/>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682" t="s">
        <v>431</v>
      </c>
      <c r="B294" s="682"/>
      <c r="C294" s="682"/>
      <c r="D294" s="682"/>
      <c r="E294" s="682"/>
      <c r="F294" s="682"/>
      <c r="G294" s="682"/>
      <c r="H294" s="682"/>
      <c r="I294" s="682"/>
      <c r="J294" s="682"/>
      <c r="K294" s="682"/>
      <c r="L294" s="682"/>
      <c r="M294" s="682"/>
      <c r="N294" s="682"/>
      <c r="O294" s="682"/>
      <c r="P294" s="682"/>
      <c r="Q294" s="682"/>
      <c r="R294" s="682"/>
    </row>
    <row r="295" spans="1:30" ht="13.5" customHeight="1">
      <c r="A295" s="682"/>
      <c r="B295" s="682"/>
      <c r="C295" s="682"/>
      <c r="D295" s="682"/>
      <c r="E295" s="682"/>
      <c r="F295" s="682"/>
      <c r="G295" s="682"/>
      <c r="H295" s="682"/>
      <c r="I295" s="682"/>
      <c r="J295" s="682"/>
      <c r="K295" s="682"/>
      <c r="L295" s="682"/>
      <c r="M295" s="682"/>
      <c r="N295" s="682"/>
      <c r="O295" s="682"/>
      <c r="P295" s="682"/>
      <c r="Q295" s="682"/>
      <c r="R295" s="682"/>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1"/>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1"/>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1"/>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1"/>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1"/>
    </row>
    <row r="301" spans="1:30" ht="13.5" customHeight="1">
      <c r="A301" s="683" t="s">
        <v>356</v>
      </c>
      <c r="B301" s="683"/>
      <c r="C301" s="683"/>
      <c r="D301" s="683"/>
      <c r="E301" s="683"/>
      <c r="F301" s="683"/>
      <c r="G301" s="683"/>
      <c r="H301" s="683"/>
      <c r="I301" s="683"/>
      <c r="J301" s="683"/>
      <c r="K301" s="683"/>
      <c r="L301" s="683"/>
      <c r="M301" s="683"/>
      <c r="N301" s="683"/>
      <c r="O301" s="683"/>
      <c r="P301" s="683"/>
      <c r="Q301" s="683"/>
      <c r="R301" s="683"/>
    </row>
    <row r="302" spans="1:30" ht="27.75" customHeight="1">
      <c r="A302" s="445"/>
      <c r="B302" s="162"/>
      <c r="C302" s="162"/>
      <c r="D302" s="162"/>
      <c r="E302" s="162"/>
      <c r="F302" s="165"/>
      <c r="G302" s="166"/>
      <c r="H302" s="162"/>
      <c r="I302" s="179"/>
      <c r="J302" s="167"/>
      <c r="K302" s="162"/>
      <c r="L302" s="163"/>
      <c r="M302" s="169"/>
      <c r="N302" s="164"/>
      <c r="O302" s="286"/>
      <c r="P302" s="164"/>
      <c r="Q302" s="170"/>
      <c r="R302" s="521"/>
    </row>
    <row r="303" spans="1:30">
      <c r="A303" s="445"/>
      <c r="B303" s="162"/>
      <c r="C303" s="162"/>
      <c r="D303" s="162"/>
      <c r="E303" s="162"/>
      <c r="F303" s="165"/>
      <c r="G303" s="166"/>
      <c r="H303" s="162"/>
      <c r="I303" s="179"/>
      <c r="J303" s="167"/>
      <c r="K303" s="162"/>
      <c r="L303" s="163"/>
      <c r="M303" s="169"/>
      <c r="N303" s="164"/>
      <c r="O303" s="286"/>
      <c r="P303" s="164"/>
      <c r="Q303" s="170"/>
      <c r="R303" s="521"/>
    </row>
    <row r="304" spans="1:30">
      <c r="A304" s="445"/>
      <c r="B304" s="162"/>
      <c r="C304" s="162"/>
      <c r="D304" s="162"/>
      <c r="E304" s="162"/>
      <c r="F304" s="165"/>
      <c r="G304" s="166"/>
      <c r="H304" s="162"/>
      <c r="I304" s="179"/>
      <c r="J304" s="167"/>
      <c r="K304" s="162"/>
      <c r="L304" s="163"/>
      <c r="M304" s="169"/>
      <c r="N304" s="164"/>
      <c r="O304" s="286"/>
      <c r="P304" s="164"/>
      <c r="Q304" s="170"/>
      <c r="R304" s="521"/>
    </row>
    <row r="305" spans="1:18" ht="14.25" customHeight="1">
      <c r="A305" s="445"/>
      <c r="B305" s="162"/>
      <c r="C305" s="162"/>
      <c r="D305" s="162"/>
      <c r="E305" s="162"/>
      <c r="F305" s="165"/>
      <c r="G305" s="166"/>
      <c r="H305" s="162"/>
      <c r="I305" s="179"/>
      <c r="J305" s="167"/>
      <c r="K305" s="162"/>
      <c r="L305" s="163"/>
      <c r="M305" s="169"/>
      <c r="N305" s="164"/>
      <c r="O305" s="286"/>
      <c r="P305" s="164"/>
      <c r="Q305" s="170"/>
      <c r="R305" s="521"/>
    </row>
    <row r="306" spans="1:18" ht="26.25" customHeight="1">
      <c r="A306" s="445"/>
      <c r="B306" s="162"/>
      <c r="C306" s="162"/>
      <c r="D306" s="162"/>
      <c r="E306" s="162"/>
      <c r="F306" s="165"/>
      <c r="G306" s="166"/>
      <c r="H306" s="162"/>
      <c r="I306" s="179"/>
      <c r="J306" s="167"/>
      <c r="K306" s="162"/>
      <c r="L306" s="163"/>
      <c r="M306" s="169"/>
      <c r="N306" s="164"/>
      <c r="O306" s="286"/>
      <c r="P306" s="164"/>
      <c r="Q306" s="170"/>
      <c r="R306" s="521"/>
    </row>
    <row r="307" spans="1:18">
      <c r="A307" s="445"/>
      <c r="B307" s="162"/>
      <c r="C307" s="162"/>
      <c r="D307" s="162"/>
      <c r="E307" s="162"/>
      <c r="F307" s="165"/>
      <c r="G307" s="166"/>
      <c r="H307" s="162"/>
      <c r="I307" s="179"/>
      <c r="J307" s="167"/>
      <c r="K307" s="162"/>
      <c r="L307" s="163"/>
      <c r="M307" s="169"/>
      <c r="N307" s="164"/>
      <c r="O307" s="286"/>
      <c r="P307" s="164"/>
      <c r="Q307" s="170"/>
      <c r="R307" s="521"/>
    </row>
    <row r="308" spans="1:18" ht="13.5" customHeight="1">
      <c r="A308" s="445"/>
      <c r="B308" s="162"/>
      <c r="C308" s="162"/>
      <c r="D308" s="162"/>
      <c r="E308" s="162"/>
      <c r="F308" s="165"/>
      <c r="G308" s="166"/>
      <c r="H308" s="162"/>
      <c r="I308" s="179"/>
      <c r="J308" s="167"/>
      <c r="K308" s="162"/>
      <c r="L308" s="163"/>
      <c r="M308" s="169"/>
      <c r="N308" s="164"/>
      <c r="O308" s="286"/>
      <c r="P308" s="164"/>
      <c r="Q308" s="170"/>
      <c r="R308" s="521"/>
    </row>
    <row r="309" spans="1:18">
      <c r="A309" s="445"/>
      <c r="B309" s="162"/>
      <c r="C309" s="162"/>
      <c r="D309" s="162"/>
      <c r="E309" s="162"/>
      <c r="F309" s="165"/>
      <c r="G309" s="166"/>
      <c r="H309" s="162"/>
      <c r="I309" s="179"/>
      <c r="J309" s="167"/>
      <c r="K309" s="162"/>
      <c r="L309" s="163"/>
      <c r="M309" s="169"/>
      <c r="N309" s="164"/>
      <c r="O309" s="286"/>
      <c r="P309" s="164"/>
      <c r="Q309" s="170"/>
      <c r="R309" s="521"/>
    </row>
    <row r="310" spans="1:18">
      <c r="A310" s="445"/>
      <c r="B310" s="162"/>
      <c r="C310" s="162"/>
      <c r="D310" s="162"/>
      <c r="E310" s="162"/>
      <c r="F310" s="165"/>
      <c r="G310" s="166"/>
      <c r="H310" s="162"/>
      <c r="I310" s="179"/>
      <c r="J310" s="167"/>
      <c r="K310" s="162"/>
      <c r="L310" s="163"/>
      <c r="M310" s="169"/>
      <c r="N310" s="164"/>
      <c r="O310" s="286"/>
      <c r="P310" s="164"/>
      <c r="Q310" s="170"/>
      <c r="R310" s="521"/>
    </row>
    <row r="311" spans="1:18" ht="15.75" customHeight="1">
      <c r="A311" s="445"/>
      <c r="B311" s="162"/>
      <c r="C311" s="162"/>
      <c r="D311" s="162"/>
      <c r="E311" s="162"/>
      <c r="F311" s="165"/>
      <c r="G311" s="166"/>
      <c r="H311" s="162"/>
      <c r="I311" s="179"/>
      <c r="J311" s="167"/>
      <c r="K311" s="162"/>
      <c r="L311" s="163"/>
      <c r="M311" s="169"/>
      <c r="N311" s="164"/>
      <c r="O311" s="286"/>
      <c r="P311" s="164"/>
      <c r="Q311" s="170"/>
      <c r="R311" s="521"/>
    </row>
    <row r="312" spans="1:18" ht="15" customHeight="1">
      <c r="A312" s="445"/>
      <c r="B312" s="162"/>
      <c r="C312" s="162"/>
      <c r="D312" s="162"/>
      <c r="E312" s="162"/>
      <c r="F312" s="165"/>
      <c r="G312" s="166"/>
      <c r="H312" s="162"/>
      <c r="I312" s="179"/>
      <c r="J312" s="167"/>
      <c r="K312" s="162"/>
      <c r="L312" s="163"/>
      <c r="M312" s="169"/>
      <c r="N312" s="164"/>
      <c r="O312" s="286"/>
      <c r="P312" s="164"/>
      <c r="Q312" s="170"/>
      <c r="R312" s="521"/>
    </row>
    <row r="313" spans="1:18" ht="15" customHeight="1">
      <c r="A313" s="445"/>
      <c r="B313" s="162"/>
      <c r="C313" s="162"/>
      <c r="D313" s="162"/>
      <c r="E313" s="162"/>
      <c r="F313" s="165"/>
      <c r="G313" s="166"/>
      <c r="H313" s="162"/>
      <c r="I313" s="179"/>
      <c r="J313" s="167"/>
      <c r="K313" s="162"/>
      <c r="L313" s="163"/>
      <c r="M313" s="169"/>
      <c r="N313" s="164"/>
      <c r="O313" s="286"/>
      <c r="P313" s="164"/>
      <c r="Q313" s="170"/>
      <c r="R313" s="521"/>
    </row>
    <row r="314" spans="1:18" ht="15" customHeight="1">
      <c r="A314" s="445"/>
      <c r="B314" s="162"/>
      <c r="C314" s="162"/>
      <c r="D314" s="162"/>
      <c r="E314" s="162"/>
      <c r="F314" s="165"/>
      <c r="G314" s="166"/>
      <c r="H314" s="162"/>
      <c r="I314" s="179"/>
      <c r="J314" s="167"/>
      <c r="K314" s="162"/>
      <c r="L314" s="163"/>
      <c r="M314" s="169"/>
      <c r="N314" s="164"/>
      <c r="O314" s="286"/>
      <c r="P314" s="164"/>
      <c r="Q314" s="170"/>
      <c r="R314" s="521"/>
    </row>
    <row r="315" spans="1:18" ht="15" customHeight="1">
      <c r="A315" s="445"/>
      <c r="B315" s="162"/>
      <c r="C315" s="162"/>
      <c r="D315" s="162"/>
      <c r="E315" s="162"/>
      <c r="F315" s="165"/>
      <c r="G315" s="166"/>
      <c r="H315" s="162"/>
      <c r="I315" s="179"/>
      <c r="J315" s="167"/>
      <c r="K315" s="162"/>
      <c r="L315" s="163"/>
      <c r="M315" s="169"/>
      <c r="N315" s="164"/>
      <c r="O315" s="286"/>
      <c r="P315" s="164"/>
      <c r="Q315" s="170"/>
      <c r="R315" s="521"/>
    </row>
    <row r="316" spans="1:18" ht="14.25" customHeight="1">
      <c r="A316" s="445"/>
      <c r="B316" s="162"/>
      <c r="C316" s="162"/>
      <c r="D316" s="162"/>
      <c r="E316" s="162"/>
      <c r="F316" s="165"/>
      <c r="G316" s="166"/>
      <c r="H316" s="162"/>
      <c r="I316" s="179"/>
      <c r="J316" s="167"/>
      <c r="K316" s="162"/>
      <c r="L316" s="163"/>
      <c r="M316" s="169"/>
      <c r="N316" s="164"/>
      <c r="O316" s="286"/>
      <c r="P316" s="164"/>
      <c r="Q316" s="170"/>
      <c r="R316" s="521"/>
    </row>
    <row r="317" spans="1:18" ht="13.5" customHeight="1">
      <c r="A317" s="445"/>
      <c r="B317" s="162"/>
      <c r="C317" s="162"/>
      <c r="D317" s="162"/>
      <c r="E317" s="162"/>
      <c r="F317" s="165"/>
      <c r="G317" s="166"/>
      <c r="H317" s="162"/>
      <c r="I317" s="179"/>
      <c r="J317" s="167"/>
      <c r="K317" s="162"/>
      <c r="L317" s="163"/>
      <c r="M317" s="169"/>
      <c r="N317" s="164"/>
      <c r="O317" s="286"/>
      <c r="P317" s="164"/>
      <c r="Q317" s="170"/>
      <c r="R317" s="521"/>
    </row>
    <row r="318" spans="1:18" ht="13.5" customHeight="1">
      <c r="A318" s="445"/>
      <c r="B318" s="162"/>
      <c r="C318" s="162"/>
      <c r="D318" s="162"/>
      <c r="E318" s="162"/>
      <c r="F318" s="165"/>
      <c r="G318" s="166"/>
      <c r="H318" s="162"/>
      <c r="I318" s="179"/>
      <c r="J318" s="167"/>
      <c r="K318" s="162"/>
      <c r="L318" s="163"/>
      <c r="M318" s="169"/>
      <c r="N318" s="164"/>
      <c r="O318" s="286"/>
      <c r="P318" s="164"/>
      <c r="Q318" s="170"/>
      <c r="R318" s="521"/>
    </row>
    <row r="319" spans="1:18" ht="13.5" customHeight="1">
      <c r="A319" s="445"/>
      <c r="B319" s="162"/>
      <c r="C319" s="162"/>
      <c r="D319" s="162"/>
      <c r="E319" s="162"/>
      <c r="F319" s="165"/>
      <c r="G319" s="166"/>
      <c r="H319" s="162"/>
      <c r="I319" s="179"/>
      <c r="J319" s="167"/>
      <c r="K319" s="162"/>
      <c r="L319" s="163"/>
      <c r="M319" s="169"/>
      <c r="N319" s="164"/>
      <c r="O319" s="286"/>
      <c r="P319" s="164"/>
      <c r="Q319" s="170"/>
      <c r="R319" s="521"/>
    </row>
    <row r="320" spans="1:18" ht="15" customHeight="1">
      <c r="A320" s="445"/>
      <c r="B320" s="162"/>
      <c r="C320" s="162"/>
      <c r="D320" s="162"/>
      <c r="E320" s="162"/>
      <c r="F320" s="165"/>
      <c r="G320" s="166"/>
      <c r="H320" s="162"/>
      <c r="I320" s="179"/>
      <c r="J320" s="167"/>
      <c r="K320" s="162"/>
      <c r="L320" s="163"/>
      <c r="M320" s="169"/>
      <c r="N320" s="164"/>
      <c r="O320" s="286"/>
      <c r="P320" s="164"/>
      <c r="Q320" s="170"/>
      <c r="R320" s="521"/>
    </row>
    <row r="321" spans="1:30" ht="15.75" customHeight="1">
      <c r="A321" s="445"/>
      <c r="B321" s="162"/>
      <c r="C321" s="162"/>
      <c r="D321" s="162"/>
      <c r="E321" s="162"/>
      <c r="F321" s="165"/>
      <c r="G321" s="166"/>
      <c r="H321" s="162"/>
      <c r="I321" s="179"/>
      <c r="J321" s="167"/>
      <c r="K321" s="162"/>
      <c r="L321" s="163"/>
      <c r="M321" s="169"/>
      <c r="N321" s="164"/>
      <c r="O321" s="286"/>
      <c r="P321" s="164"/>
      <c r="Q321" s="170"/>
      <c r="R321" s="521"/>
    </row>
    <row r="322" spans="1:30" ht="16.5" customHeight="1">
      <c r="A322" s="445"/>
      <c r="B322" s="162"/>
      <c r="C322" s="162"/>
      <c r="D322" s="162"/>
      <c r="E322" s="162"/>
      <c r="F322" s="165"/>
      <c r="G322" s="166"/>
      <c r="H322" s="162"/>
      <c r="I322" s="179"/>
      <c r="J322" s="167"/>
      <c r="K322" s="162"/>
      <c r="L322" s="163"/>
      <c r="M322" s="169"/>
      <c r="N322" s="164"/>
      <c r="O322" s="286"/>
      <c r="P322" s="164"/>
      <c r="Q322" s="170"/>
      <c r="R322" s="521"/>
    </row>
    <row r="323" spans="1:30" ht="12.75" customHeight="1">
      <c r="A323" s="445"/>
      <c r="B323" s="162"/>
      <c r="C323" s="162"/>
      <c r="D323" s="162"/>
      <c r="E323" s="162"/>
      <c r="F323" s="165"/>
      <c r="G323" s="166"/>
      <c r="H323" s="162"/>
      <c r="I323" s="179"/>
      <c r="J323" s="167"/>
      <c r="K323" s="162"/>
      <c r="L323" s="163"/>
      <c r="M323" s="169"/>
      <c r="N323" s="164"/>
      <c r="O323" s="286"/>
      <c r="P323" s="164"/>
      <c r="Q323" s="170"/>
      <c r="R323" s="521"/>
    </row>
    <row r="324" spans="1:30" ht="15" customHeight="1">
      <c r="A324" s="445"/>
      <c r="B324" s="162"/>
      <c r="C324" s="162"/>
      <c r="D324" s="162"/>
      <c r="E324" s="162"/>
      <c r="F324" s="165"/>
      <c r="G324" s="166"/>
      <c r="H324" s="162"/>
      <c r="I324" s="179"/>
      <c r="J324" s="167"/>
      <c r="K324" s="162"/>
      <c r="L324" s="163"/>
      <c r="M324" s="169"/>
      <c r="N324" s="164"/>
      <c r="O324" s="286"/>
      <c r="P324" s="164"/>
      <c r="Q324" s="170"/>
      <c r="R324" s="521"/>
    </row>
    <row r="325" spans="1:30" ht="14.25" customHeight="1">
      <c r="A325" s="445"/>
      <c r="B325" s="162"/>
      <c r="C325" s="162"/>
      <c r="D325" s="162"/>
      <c r="E325" s="162"/>
      <c r="F325" s="165"/>
      <c r="G325" s="166"/>
      <c r="H325" s="162"/>
      <c r="I325" s="179"/>
      <c r="J325" s="167"/>
      <c r="K325" s="162"/>
      <c r="L325" s="163"/>
      <c r="M325" s="169"/>
      <c r="N325" s="164"/>
      <c r="O325" s="286"/>
      <c r="P325" s="164"/>
      <c r="Q325" s="170"/>
      <c r="R325" s="521"/>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28"/>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28"/>
      <c r="S344" s="157"/>
      <c r="T344" s="157"/>
      <c r="U344" s="157"/>
      <c r="V344" s="157"/>
      <c r="W344" s="157"/>
      <c r="X344" s="157"/>
      <c r="Y344" s="157"/>
      <c r="Z344" s="157"/>
      <c r="AA344" s="157"/>
      <c r="AB344" s="157"/>
      <c r="AC344" s="157"/>
      <c r="AD344" s="157"/>
    </row>
  </sheetData>
  <mergeCells count="145">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N290:O290"/>
    <mergeCell ref="A294:R295"/>
    <mergeCell ref="A301:R301"/>
    <mergeCell ref="A284:A285"/>
    <mergeCell ref="B284:O285"/>
    <mergeCell ref="K287:L287"/>
    <mergeCell ref="L288:M288"/>
    <mergeCell ref="A261:A262"/>
    <mergeCell ref="B261:N262"/>
    <mergeCell ref="K265:L265"/>
    <mergeCell ref="L266:M266"/>
    <mergeCell ref="B263:E263"/>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s>
  <pageMargins left="0.39" right="0.46" top="0.6" bottom="0.4" header="0.43" footer="0.4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721" t="s">
        <v>426</v>
      </c>
      <c r="B1" s="721"/>
      <c r="C1" s="721"/>
      <c r="D1" s="721"/>
      <c r="E1" s="721"/>
      <c r="F1" s="721"/>
      <c r="G1" s="721"/>
      <c r="H1" s="721"/>
      <c r="I1" s="721"/>
      <c r="J1" s="721"/>
      <c r="K1" s="721"/>
      <c r="L1" s="721"/>
      <c r="M1" s="721"/>
      <c r="N1" s="721"/>
      <c r="O1" s="721"/>
      <c r="P1" s="721"/>
      <c r="Q1" s="721"/>
      <c r="R1" s="721"/>
    </row>
    <row r="2" spans="1:30" ht="16.5" customHeight="1">
      <c r="A2" s="721"/>
      <c r="B2" s="721"/>
      <c r="C2" s="721"/>
      <c r="D2" s="721"/>
      <c r="E2" s="721"/>
      <c r="F2" s="721"/>
      <c r="G2" s="721"/>
      <c r="H2" s="721"/>
      <c r="I2" s="721"/>
      <c r="J2" s="721"/>
      <c r="K2" s="721"/>
      <c r="L2" s="721"/>
      <c r="M2" s="721"/>
      <c r="N2" s="721"/>
      <c r="O2" s="721"/>
      <c r="P2" s="721"/>
      <c r="Q2" s="721"/>
      <c r="R2" s="721"/>
    </row>
    <row r="3" spans="1:30" s="159" customFormat="1" ht="14.25" customHeight="1">
      <c r="A3" s="722" t="s">
        <v>425</v>
      </c>
      <c r="B3" s="722"/>
      <c r="C3" s="722"/>
      <c r="D3" s="722"/>
      <c r="E3" s="722"/>
      <c r="F3" s="722"/>
      <c r="G3" s="722"/>
      <c r="H3" s="722"/>
      <c r="I3" s="722"/>
      <c r="J3" s="722"/>
      <c r="K3" s="722"/>
      <c r="L3" s="722"/>
      <c r="M3" s="722"/>
      <c r="N3" s="722"/>
      <c r="O3" s="722"/>
      <c r="P3" s="722"/>
      <c r="Q3" s="722"/>
      <c r="R3" s="722"/>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723" t="s">
        <v>352</v>
      </c>
      <c r="C6" s="723"/>
      <c r="D6" s="723"/>
      <c r="E6" s="723"/>
      <c r="F6" s="723"/>
      <c r="G6" s="723"/>
      <c r="H6" s="723"/>
      <c r="I6" s="723"/>
      <c r="J6" s="723"/>
      <c r="K6" s="723"/>
      <c r="L6" s="723"/>
      <c r="M6" s="723"/>
      <c r="N6" s="723"/>
      <c r="O6" s="723"/>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724" t="s">
        <v>427</v>
      </c>
      <c r="C8" s="724"/>
      <c r="D8" s="724"/>
      <c r="E8" s="724"/>
      <c r="F8" s="724"/>
      <c r="G8" s="724"/>
      <c r="H8" s="724"/>
      <c r="I8" s="724"/>
      <c r="J8" s="724"/>
      <c r="K8" s="302"/>
      <c r="L8" s="302"/>
      <c r="M8" s="302"/>
      <c r="N8" s="302"/>
      <c r="O8" s="303"/>
      <c r="P8" s="182"/>
      <c r="Q8" s="182"/>
      <c r="R8" s="263"/>
    </row>
    <row r="9" spans="1:30" ht="13.5" customHeight="1">
      <c r="A9" s="258"/>
      <c r="B9" s="724" t="s">
        <v>357</v>
      </c>
      <c r="C9" s="724"/>
      <c r="D9" s="724"/>
      <c r="E9" s="724"/>
      <c r="F9" s="724"/>
      <c r="G9" s="724"/>
      <c r="H9" s="724"/>
      <c r="I9" s="724"/>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725"/>
      <c r="Y13" s="725"/>
      <c r="Z13" s="310"/>
      <c r="AA13" s="310"/>
      <c r="AB13" s="310"/>
      <c r="AC13" s="172"/>
      <c r="AD13" s="310"/>
    </row>
    <row r="14" spans="1:30" ht="15" customHeight="1">
      <c r="A14" s="294"/>
      <c r="B14" s="192"/>
      <c r="C14" s="192"/>
      <c r="D14" s="192"/>
      <c r="E14" s="185"/>
      <c r="F14" s="193" t="s">
        <v>350</v>
      </c>
      <c r="G14" s="307" t="s">
        <v>11</v>
      </c>
      <c r="H14" s="307">
        <v>1.58</v>
      </c>
      <c r="I14" s="701" t="s">
        <v>353</v>
      </c>
      <c r="J14" s="706"/>
      <c r="K14" s="185"/>
      <c r="L14" s="185"/>
      <c r="M14" s="184" t="s">
        <v>0</v>
      </c>
      <c r="N14" s="307">
        <f>H14*N13</f>
        <v>227.52</v>
      </c>
      <c r="O14" s="268" t="s">
        <v>100</v>
      </c>
      <c r="P14" s="185"/>
      <c r="Q14" s="185"/>
      <c r="R14" s="244"/>
      <c r="X14" s="173"/>
      <c r="Y14" s="310"/>
      <c r="Z14" s="310"/>
      <c r="AA14" s="310"/>
      <c r="AB14" s="310"/>
      <c r="AC14" s="172"/>
      <c r="AD14" s="310"/>
    </row>
    <row r="15" spans="1:30">
      <c r="A15" s="263"/>
      <c r="B15" s="719" t="s">
        <v>417</v>
      </c>
      <c r="C15" s="719"/>
      <c r="D15" s="719"/>
      <c r="E15" s="719"/>
      <c r="F15" s="719"/>
      <c r="G15" s="719"/>
      <c r="H15" s="719"/>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710" t="s">
        <v>385</v>
      </c>
      <c r="C16" s="710"/>
      <c r="D16" s="710"/>
      <c r="E16" s="710"/>
      <c r="F16" s="710"/>
      <c r="G16" s="710"/>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701" t="s">
        <v>353</v>
      </c>
      <c r="J18" s="706"/>
      <c r="K18" s="185"/>
      <c r="L18" s="185"/>
      <c r="M18" s="184" t="s">
        <v>0</v>
      </c>
      <c r="N18" s="307">
        <f>H18*N17</f>
        <v>143.20800000000003</v>
      </c>
      <c r="O18" s="268" t="s">
        <v>100</v>
      </c>
      <c r="P18" s="182"/>
      <c r="Q18" s="182"/>
      <c r="R18" s="294"/>
      <c r="U18" s="168"/>
      <c r="V18" s="168"/>
      <c r="W18" s="168"/>
      <c r="X18" s="720"/>
      <c r="Y18" s="720"/>
      <c r="Z18" s="720"/>
      <c r="AA18" s="720"/>
      <c r="AB18" s="720"/>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718" t="s">
        <v>386</v>
      </c>
      <c r="C20" s="718"/>
      <c r="D20" s="718"/>
      <c r="E20" s="718"/>
      <c r="F20" s="718"/>
      <c r="G20" s="718"/>
      <c r="H20" s="718"/>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710" t="s">
        <v>445</v>
      </c>
      <c r="C21" s="710"/>
      <c r="D21" s="710"/>
      <c r="E21" s="710"/>
      <c r="F21" s="710"/>
      <c r="G21" s="307"/>
      <c r="H21" s="307"/>
      <c r="I21" s="305"/>
      <c r="J21" s="306"/>
      <c r="K21" s="185"/>
      <c r="L21" s="185"/>
      <c r="M21" s="184"/>
      <c r="N21" s="307"/>
      <c r="O21" s="268"/>
      <c r="P21" s="182"/>
      <c r="Q21" s="182"/>
      <c r="R21" s="294"/>
      <c r="X21" s="173"/>
      <c r="Y21" s="177"/>
      <c r="Z21" s="177"/>
      <c r="AA21" s="177"/>
      <c r="AB21" s="177"/>
      <c r="AC21" s="172"/>
      <c r="AD21" s="310"/>
    </row>
    <row r="22" spans="1:30">
      <c r="A22" s="263"/>
      <c r="B22" s="710" t="s">
        <v>387</v>
      </c>
      <c r="C22" s="710"/>
      <c r="D22" s="710"/>
      <c r="E22" s="710"/>
      <c r="F22" s="710"/>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710" t="s">
        <v>388</v>
      </c>
      <c r="C23" s="710"/>
      <c r="D23" s="710"/>
      <c r="E23" s="710"/>
      <c r="F23" s="710"/>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710" t="s">
        <v>389</v>
      </c>
      <c r="C24" s="710"/>
      <c r="D24" s="710"/>
      <c r="E24" s="710"/>
      <c r="F24" s="710"/>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701" t="s">
        <v>353</v>
      </c>
      <c r="J26" s="706"/>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710" t="s">
        <v>385</v>
      </c>
      <c r="C28" s="710"/>
      <c r="D28" s="710"/>
      <c r="E28" s="710"/>
      <c r="F28" s="710"/>
      <c r="G28" s="710"/>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701" t="s">
        <v>353</v>
      </c>
      <c r="J30" s="706"/>
      <c r="K30" s="185"/>
      <c r="L30" s="185"/>
      <c r="M30" s="184" t="s">
        <v>0</v>
      </c>
      <c r="N30" s="307">
        <f>H30*N29</f>
        <v>140.98500000000001</v>
      </c>
      <c r="O30" s="268" t="s">
        <v>100</v>
      </c>
      <c r="P30" s="182"/>
      <c r="Q30" s="182"/>
      <c r="R30" s="294"/>
      <c r="X30" s="173"/>
      <c r="Y30" s="177"/>
      <c r="Z30" s="177"/>
      <c r="AA30" s="177"/>
      <c r="AB30" s="177"/>
      <c r="AC30" s="172"/>
      <c r="AD30" s="310"/>
    </row>
    <row r="31" spans="1:30">
      <c r="A31" s="263"/>
      <c r="B31" s="710" t="s">
        <v>384</v>
      </c>
      <c r="C31" s="710"/>
      <c r="D31" s="710"/>
      <c r="E31" s="710"/>
      <c r="F31" s="710"/>
      <c r="G31" s="307"/>
      <c r="H31" s="307"/>
      <c r="I31" s="305"/>
      <c r="J31" s="306"/>
      <c r="K31" s="185"/>
      <c r="L31" s="185"/>
      <c r="M31" s="184"/>
      <c r="N31" s="307"/>
      <c r="O31" s="268"/>
      <c r="P31" s="182"/>
      <c r="Q31" s="182"/>
      <c r="R31" s="294"/>
      <c r="X31" s="173"/>
      <c r="Y31" s="177"/>
      <c r="Z31" s="177"/>
      <c r="AA31" s="177"/>
      <c r="AB31" s="177"/>
      <c r="AC31" s="172"/>
      <c r="AD31" s="310"/>
    </row>
    <row r="32" spans="1:30">
      <c r="A32" s="263"/>
      <c r="B32" s="710" t="s">
        <v>387</v>
      </c>
      <c r="C32" s="710"/>
      <c r="D32" s="710"/>
      <c r="E32" s="710"/>
      <c r="F32" s="710"/>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710" t="s">
        <v>388</v>
      </c>
      <c r="C33" s="710"/>
      <c r="D33" s="710"/>
      <c r="E33" s="710"/>
      <c r="F33" s="710"/>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710" t="s">
        <v>389</v>
      </c>
      <c r="C34" s="710"/>
      <c r="D34" s="710"/>
      <c r="E34" s="710"/>
      <c r="F34" s="710"/>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701" t="s">
        <v>353</v>
      </c>
      <c r="J36" s="706"/>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710" t="s">
        <v>385</v>
      </c>
      <c r="C38" s="710"/>
      <c r="D38" s="710"/>
      <c r="E38" s="710"/>
      <c r="F38" s="710"/>
      <c r="G38" s="710"/>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701" t="s">
        <v>353</v>
      </c>
      <c r="J40" s="706"/>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718" t="s">
        <v>390</v>
      </c>
      <c r="C46" s="718"/>
      <c r="D46" s="718"/>
      <c r="E46" s="718"/>
      <c r="F46" s="718"/>
      <c r="G46" s="718"/>
      <c r="H46" s="718"/>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710" t="s">
        <v>387</v>
      </c>
      <c r="C48" s="710"/>
      <c r="D48" s="710"/>
      <c r="E48" s="710"/>
      <c r="F48" s="710"/>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710" t="s">
        <v>388</v>
      </c>
      <c r="C49" s="710"/>
      <c r="D49" s="710"/>
      <c r="E49" s="710"/>
      <c r="F49" s="710"/>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701" t="s">
        <v>353</v>
      </c>
      <c r="J51" s="706"/>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710" t="s">
        <v>385</v>
      </c>
      <c r="C52" s="710"/>
      <c r="D52" s="710"/>
      <c r="E52" s="710"/>
      <c r="F52" s="710"/>
      <c r="G52" s="710"/>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701" t="s">
        <v>353</v>
      </c>
      <c r="J54" s="706"/>
      <c r="K54" s="185"/>
      <c r="L54" s="185"/>
      <c r="M54" s="184" t="s">
        <v>0</v>
      </c>
      <c r="N54" s="307">
        <f>H54*N53</f>
        <v>11.114999999999998</v>
      </c>
      <c r="O54" s="268" t="s">
        <v>100</v>
      </c>
      <c r="P54" s="182"/>
      <c r="Q54" s="182"/>
      <c r="R54" s="294"/>
      <c r="X54" s="173"/>
      <c r="Y54" s="177"/>
      <c r="Z54" s="177"/>
      <c r="AA54" s="177"/>
      <c r="AB54" s="177"/>
      <c r="AC54" s="172"/>
      <c r="AD54" s="310"/>
    </row>
    <row r="55" spans="1:30">
      <c r="A55" s="263"/>
      <c r="B55" s="714" t="s">
        <v>391</v>
      </c>
      <c r="C55" s="714"/>
      <c r="D55" s="714"/>
      <c r="E55" s="714"/>
      <c r="F55" s="714"/>
      <c r="G55" s="307"/>
      <c r="H55" s="307"/>
      <c r="I55" s="305"/>
      <c r="J55" s="306"/>
      <c r="K55" s="185"/>
      <c r="L55" s="185"/>
      <c r="M55" s="184"/>
      <c r="N55" s="307"/>
      <c r="O55" s="157"/>
      <c r="R55" s="157"/>
      <c r="X55" s="173"/>
      <c r="Y55" s="177"/>
      <c r="Z55" s="177"/>
      <c r="AA55" s="177"/>
      <c r="AB55" s="177"/>
      <c r="AC55" s="172"/>
      <c r="AD55" s="310"/>
    </row>
    <row r="56" spans="1:30">
      <c r="A56" s="263"/>
      <c r="B56" s="716" t="s">
        <v>422</v>
      </c>
      <c r="C56" s="716"/>
      <c r="D56" s="716"/>
      <c r="E56" s="716"/>
      <c r="F56" s="716"/>
      <c r="G56" s="716"/>
      <c r="H56" s="716"/>
      <c r="I56" s="305"/>
      <c r="J56" s="306"/>
      <c r="K56" s="185"/>
      <c r="L56" s="185"/>
      <c r="M56" s="184"/>
      <c r="N56" s="307"/>
      <c r="O56" s="268"/>
      <c r="P56" s="182"/>
      <c r="Q56" s="182"/>
      <c r="R56" s="294"/>
      <c r="X56" s="173"/>
      <c r="Y56" s="177"/>
      <c r="Z56" s="177"/>
      <c r="AA56" s="177"/>
      <c r="AB56" s="177"/>
      <c r="AC56" s="172"/>
      <c r="AD56" s="310"/>
    </row>
    <row r="57" spans="1:30">
      <c r="A57" s="263"/>
      <c r="B57" s="705" t="s">
        <v>392</v>
      </c>
      <c r="C57" s="705"/>
      <c r="D57" s="705"/>
      <c r="E57" s="705"/>
      <c r="F57" s="705"/>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705" t="s">
        <v>393</v>
      </c>
      <c r="C58" s="705"/>
      <c r="D58" s="705"/>
      <c r="E58" s="705"/>
      <c r="F58" s="705"/>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708" t="s">
        <v>394</v>
      </c>
      <c r="C59" s="708"/>
      <c r="D59" s="708"/>
      <c r="E59" s="708"/>
      <c r="F59" s="708"/>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708" t="s">
        <v>393</v>
      </c>
      <c r="C60" s="708"/>
      <c r="D60" s="708"/>
      <c r="E60" s="708"/>
      <c r="F60" s="708"/>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708" t="s">
        <v>395</v>
      </c>
      <c r="C61" s="708"/>
      <c r="D61" s="708"/>
      <c r="E61" s="708"/>
      <c r="F61" s="708"/>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708" t="s">
        <v>393</v>
      </c>
      <c r="C62" s="708"/>
      <c r="D62" s="708"/>
      <c r="E62" s="708"/>
      <c r="F62" s="708"/>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705" t="s">
        <v>396</v>
      </c>
      <c r="C63" s="705"/>
      <c r="D63" s="705"/>
      <c r="E63" s="705"/>
      <c r="F63" s="705"/>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708" t="s">
        <v>393</v>
      </c>
      <c r="C64" s="708"/>
      <c r="D64" s="708"/>
      <c r="E64" s="708"/>
      <c r="F64" s="708"/>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711" t="s">
        <v>397</v>
      </c>
      <c r="C66" s="711"/>
      <c r="D66" s="711"/>
      <c r="E66" s="711"/>
      <c r="F66" s="711"/>
      <c r="G66" s="711"/>
      <c r="H66" s="711"/>
      <c r="I66" s="220"/>
      <c r="J66" s="221"/>
      <c r="K66" s="220"/>
      <c r="L66" s="222"/>
      <c r="M66" s="223"/>
      <c r="N66" s="224"/>
      <c r="O66" s="271"/>
      <c r="P66" s="219"/>
      <c r="Q66" s="219"/>
      <c r="R66" s="271"/>
      <c r="X66" s="173"/>
      <c r="Y66" s="177"/>
      <c r="Z66" s="177"/>
      <c r="AA66" s="177"/>
      <c r="AB66" s="177"/>
      <c r="AC66" s="172"/>
      <c r="AD66" s="310"/>
    </row>
    <row r="67" spans="1:30" ht="15" customHeight="1">
      <c r="A67" s="263"/>
      <c r="B67" s="712" t="s">
        <v>429</v>
      </c>
      <c r="C67" s="712"/>
      <c r="D67" s="712"/>
      <c r="E67" s="712"/>
      <c r="F67" s="712"/>
      <c r="G67" s="712"/>
      <c r="H67" s="712"/>
      <c r="I67" s="313"/>
      <c r="J67" s="203"/>
      <c r="K67" s="313"/>
      <c r="L67" s="186"/>
      <c r="M67" s="190"/>
      <c r="N67" s="213"/>
      <c r="O67" s="294"/>
      <c r="P67" s="182"/>
      <c r="Q67" s="182"/>
      <c r="R67" s="294"/>
      <c r="X67" s="173"/>
      <c r="Y67" s="177"/>
      <c r="Z67" s="177"/>
      <c r="AA67" s="177"/>
      <c r="AB67" s="177"/>
      <c r="AC67" s="172"/>
      <c r="AD67" s="310"/>
    </row>
    <row r="68" spans="1:30" ht="15" customHeight="1">
      <c r="A68" s="263"/>
      <c r="B68" s="705" t="s">
        <v>392</v>
      </c>
      <c r="C68" s="705"/>
      <c r="D68" s="705"/>
      <c r="E68" s="705"/>
      <c r="F68" s="705"/>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705" t="s">
        <v>393</v>
      </c>
      <c r="C69" s="705"/>
      <c r="D69" s="705"/>
      <c r="E69" s="705"/>
      <c r="F69" s="705"/>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708" t="s">
        <v>395</v>
      </c>
      <c r="C70" s="708"/>
      <c r="D70" s="708"/>
      <c r="E70" s="708"/>
      <c r="F70" s="708"/>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705" t="s">
        <v>393</v>
      </c>
      <c r="C71" s="705"/>
      <c r="D71" s="705"/>
      <c r="E71" s="705"/>
      <c r="F71" s="705"/>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701" t="s">
        <v>353</v>
      </c>
      <c r="J73" s="706"/>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711" t="s">
        <v>449</v>
      </c>
      <c r="C75" s="711"/>
      <c r="D75" s="711"/>
      <c r="E75" s="711"/>
      <c r="F75" s="711"/>
      <c r="G75" s="711"/>
      <c r="H75" s="711"/>
      <c r="I75" s="220"/>
      <c r="J75" s="221"/>
      <c r="K75" s="220"/>
      <c r="L75" s="222"/>
      <c r="M75" s="223"/>
      <c r="N75" s="224"/>
      <c r="O75" s="271"/>
      <c r="P75" s="182"/>
      <c r="Q75" s="182"/>
      <c r="R75" s="294"/>
      <c r="X75" s="173"/>
      <c r="Y75" s="177"/>
      <c r="Z75" s="177"/>
      <c r="AA75" s="177"/>
      <c r="AB75" s="177"/>
      <c r="AC75" s="172"/>
      <c r="AD75" s="310"/>
    </row>
    <row r="76" spans="1:30" ht="15" customHeight="1">
      <c r="A76" s="263"/>
      <c r="B76" s="712" t="s">
        <v>450</v>
      </c>
      <c r="C76" s="712"/>
      <c r="D76" s="712"/>
      <c r="E76" s="712"/>
      <c r="F76" s="712"/>
      <c r="G76" s="712"/>
      <c r="H76" s="712"/>
      <c r="I76" s="313"/>
      <c r="J76" s="203"/>
      <c r="K76" s="313"/>
      <c r="L76" s="186"/>
      <c r="M76" s="190"/>
      <c r="N76" s="213"/>
      <c r="O76" s="294"/>
      <c r="P76" s="182"/>
      <c r="Q76" s="182"/>
      <c r="R76" s="294"/>
      <c r="X76" s="173"/>
      <c r="Y76" s="177"/>
      <c r="Z76" s="177"/>
      <c r="AA76" s="177"/>
      <c r="AB76" s="177"/>
      <c r="AC76" s="172"/>
      <c r="AD76" s="310"/>
    </row>
    <row r="77" spans="1:30" ht="15" customHeight="1">
      <c r="A77" s="263"/>
      <c r="B77" s="705" t="s">
        <v>392</v>
      </c>
      <c r="C77" s="705"/>
      <c r="D77" s="705"/>
      <c r="E77" s="705"/>
      <c r="F77" s="705"/>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705" t="s">
        <v>393</v>
      </c>
      <c r="C78" s="705"/>
      <c r="D78" s="705"/>
      <c r="E78" s="705"/>
      <c r="F78" s="705"/>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708" t="s">
        <v>395</v>
      </c>
      <c r="C79" s="708"/>
      <c r="D79" s="708"/>
      <c r="E79" s="708"/>
      <c r="F79" s="708"/>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705" t="s">
        <v>393</v>
      </c>
      <c r="C80" s="705"/>
      <c r="D80" s="705"/>
      <c r="E80" s="705"/>
      <c r="F80" s="705"/>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701" t="s">
        <v>353</v>
      </c>
      <c r="J82" s="706"/>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703" t="s">
        <v>359</v>
      </c>
      <c r="J83" s="703"/>
      <c r="K83" s="703"/>
      <c r="L83" s="703"/>
      <c r="M83" s="228" t="s">
        <v>0</v>
      </c>
      <c r="N83" s="248">
        <f>N73+N54+N51+N30+N26+N18+N14+N36+N40</f>
        <v>4239.8189999999995</v>
      </c>
      <c r="O83" s="282" t="s">
        <v>100</v>
      </c>
      <c r="P83" s="190"/>
      <c r="Q83" s="205"/>
      <c r="R83" s="269"/>
    </row>
    <row r="84" spans="1:30" ht="31.5" customHeight="1">
      <c r="A84" s="294"/>
      <c r="B84" s="717" t="s">
        <v>430</v>
      </c>
      <c r="C84" s="717"/>
      <c r="D84" s="717"/>
      <c r="E84" s="717"/>
      <c r="F84" s="717"/>
      <c r="G84" s="717"/>
      <c r="H84" s="717"/>
      <c r="I84" s="717"/>
      <c r="J84" s="717"/>
      <c r="K84" s="717"/>
      <c r="L84" s="717"/>
      <c r="M84" s="313" t="s">
        <v>0</v>
      </c>
      <c r="N84" s="288">
        <f>N83*0.05</f>
        <v>211.99095</v>
      </c>
      <c r="O84" s="274"/>
      <c r="P84" s="190"/>
      <c r="Q84" s="205"/>
      <c r="R84" s="269"/>
    </row>
    <row r="85" spans="1:30">
      <c r="A85" s="294"/>
      <c r="B85" s="229"/>
      <c r="C85" s="229"/>
      <c r="D85" s="229"/>
      <c r="E85" s="229"/>
      <c r="F85" s="229"/>
      <c r="G85" s="229"/>
      <c r="H85" s="687" t="s">
        <v>398</v>
      </c>
      <c r="I85" s="687"/>
      <c r="J85" s="687"/>
      <c r="K85" s="687"/>
      <c r="L85" s="687"/>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680">
        <v>9938</v>
      </c>
      <c r="M87" s="680"/>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690" t="s">
        <v>354</v>
      </c>
      <c r="C91" s="690"/>
      <c r="D91" s="690"/>
      <c r="E91" s="690"/>
      <c r="F91" s="690"/>
      <c r="G91" s="690"/>
      <c r="H91" s="690"/>
      <c r="I91" s="690"/>
      <c r="J91" s="690"/>
      <c r="K91" s="690"/>
      <c r="L91" s="690"/>
      <c r="M91" s="690"/>
      <c r="N91" s="690"/>
      <c r="O91" s="690"/>
      <c r="P91" s="184"/>
      <c r="Q91" s="197"/>
      <c r="R91" s="268"/>
    </row>
    <row r="92" spans="1:30" ht="19.5" customHeight="1">
      <c r="A92" s="294"/>
      <c r="B92" s="700" t="s">
        <v>378</v>
      </c>
      <c r="C92" s="700"/>
      <c r="D92" s="700"/>
      <c r="E92" s="700"/>
      <c r="F92" s="700"/>
      <c r="G92" s="700"/>
      <c r="H92" s="700"/>
      <c r="I92" s="700"/>
      <c r="J92" s="700"/>
      <c r="K92" s="190"/>
      <c r="L92" s="187"/>
      <c r="M92" s="190"/>
      <c r="N92" s="213"/>
      <c r="O92" s="294"/>
      <c r="P92" s="200"/>
      <c r="Q92" s="200"/>
      <c r="R92" s="265"/>
    </row>
    <row r="93" spans="1:30" ht="21" customHeight="1">
      <c r="A93" s="263"/>
      <c r="B93" s="731" t="s">
        <v>411</v>
      </c>
      <c r="C93" s="731"/>
      <c r="D93" s="731"/>
      <c r="E93" s="731"/>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731" t="s">
        <v>412</v>
      </c>
      <c r="C94" s="731"/>
      <c r="D94" s="731"/>
      <c r="E94" s="731"/>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702" t="s">
        <v>375</v>
      </c>
      <c r="C96" s="702"/>
      <c r="D96" s="702"/>
      <c r="E96" s="702"/>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702" t="s">
        <v>349</v>
      </c>
      <c r="C97" s="702"/>
      <c r="D97" s="702"/>
      <c r="E97" s="702"/>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687" t="s">
        <v>8</v>
      </c>
      <c r="L98" s="687"/>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680">
        <v>389</v>
      </c>
      <c r="M99" s="680"/>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690" t="s">
        <v>362</v>
      </c>
      <c r="C102" s="690"/>
      <c r="D102" s="690"/>
      <c r="E102" s="690"/>
      <c r="F102" s="690"/>
      <c r="G102" s="690"/>
      <c r="H102" s="690"/>
      <c r="I102" s="690"/>
      <c r="J102" s="690"/>
      <c r="K102" s="690"/>
      <c r="L102" s="690"/>
      <c r="M102" s="690"/>
      <c r="N102" s="690"/>
      <c r="O102" s="690"/>
      <c r="P102" s="200"/>
      <c r="Q102" s="200"/>
      <c r="R102" s="265"/>
    </row>
    <row r="103" spans="1:30" ht="19.5" customHeight="1">
      <c r="A103" s="294"/>
      <c r="B103" s="732" t="s">
        <v>446</v>
      </c>
      <c r="C103" s="732"/>
      <c r="D103" s="732"/>
      <c r="E103" s="732"/>
      <c r="F103" s="732"/>
      <c r="G103" s="732"/>
      <c r="H103" s="732"/>
      <c r="I103" s="732"/>
      <c r="J103" s="732"/>
      <c r="K103" s="190"/>
      <c r="L103" s="187"/>
      <c r="M103" s="190"/>
      <c r="N103" s="213"/>
      <c r="O103" s="294"/>
      <c r="P103" s="200"/>
      <c r="Q103" s="200"/>
      <c r="R103" s="265"/>
    </row>
    <row r="104" spans="1:30" ht="18" customHeight="1">
      <c r="A104" s="244"/>
      <c r="B104" s="701" t="s">
        <v>411</v>
      </c>
      <c r="C104" s="701"/>
      <c r="D104" s="701"/>
      <c r="E104" s="701"/>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732" t="s">
        <v>428</v>
      </c>
      <c r="C105" s="732"/>
      <c r="D105" s="732"/>
      <c r="E105" s="732"/>
      <c r="F105" s="732"/>
      <c r="G105" s="732"/>
      <c r="H105" s="732"/>
      <c r="I105" s="732"/>
      <c r="J105" s="732"/>
      <c r="K105" s="313"/>
      <c r="L105" s="186"/>
      <c r="M105" s="190"/>
      <c r="N105" s="199"/>
      <c r="O105" s="294"/>
      <c r="P105" s="185"/>
      <c r="Q105" s="185"/>
      <c r="R105" s="244"/>
    </row>
    <row r="106" spans="1:30" ht="15" customHeight="1">
      <c r="A106" s="244"/>
      <c r="B106" s="700"/>
      <c r="C106" s="700"/>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700" t="s">
        <v>448</v>
      </c>
      <c r="C108" s="700"/>
      <c r="D108" s="700"/>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702" t="s">
        <v>375</v>
      </c>
      <c r="C109" s="702"/>
      <c r="D109" s="702"/>
      <c r="E109" s="702"/>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735" t="s">
        <v>349</v>
      </c>
      <c r="C110" s="735"/>
      <c r="D110" s="735"/>
      <c r="E110" s="735"/>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687" t="s">
        <v>8</v>
      </c>
      <c r="L111" s="687"/>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680">
        <v>7310</v>
      </c>
      <c r="M112" s="680"/>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690" t="s">
        <v>355</v>
      </c>
      <c r="C114" s="690"/>
      <c r="D114" s="690"/>
      <c r="E114" s="690"/>
      <c r="F114" s="690"/>
      <c r="G114" s="690"/>
      <c r="H114" s="690"/>
      <c r="I114" s="690"/>
      <c r="J114" s="690"/>
      <c r="K114" s="690"/>
      <c r="L114" s="690"/>
      <c r="M114" s="690"/>
      <c r="N114" s="690"/>
      <c r="O114" s="690"/>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719" t="s">
        <v>447</v>
      </c>
      <c r="C117" s="719"/>
      <c r="D117" s="719"/>
      <c r="E117" s="719"/>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687" t="s">
        <v>8</v>
      </c>
      <c r="L121" s="687"/>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680">
        <v>817</v>
      </c>
      <c r="M123" s="680"/>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690" t="s">
        <v>363</v>
      </c>
      <c r="C130" s="690"/>
      <c r="D130" s="690"/>
      <c r="E130" s="690"/>
      <c r="F130" s="690"/>
      <c r="G130" s="690"/>
      <c r="H130" s="690"/>
      <c r="I130" s="690"/>
      <c r="J130" s="690"/>
      <c r="K130" s="690"/>
      <c r="L130" s="690"/>
      <c r="M130" s="690"/>
      <c r="N130" s="690"/>
      <c r="O130" s="690"/>
      <c r="P130" s="190"/>
      <c r="Q130" s="205"/>
      <c r="R130" s="269"/>
    </row>
    <row r="131" spans="1:22" ht="51.75" customHeight="1">
      <c r="A131" s="244"/>
      <c r="B131" s="699" t="s">
        <v>443</v>
      </c>
      <c r="C131" s="699"/>
      <c r="D131" s="699"/>
      <c r="E131" s="699"/>
      <c r="F131" s="699" t="s">
        <v>424</v>
      </c>
      <c r="G131" s="699"/>
      <c r="H131" s="699"/>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680">
        <v>213</v>
      </c>
      <c r="M134" s="680"/>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690" t="s">
        <v>364</v>
      </c>
      <c r="C136" s="690"/>
      <c r="D136" s="690"/>
      <c r="E136" s="690"/>
      <c r="F136" s="690"/>
      <c r="G136" s="690"/>
      <c r="H136" s="690"/>
      <c r="I136" s="690"/>
      <c r="J136" s="690"/>
      <c r="K136" s="690"/>
      <c r="L136" s="690"/>
      <c r="M136" s="690"/>
      <c r="N136" s="690"/>
      <c r="O136" s="690"/>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734" t="s">
        <v>366</v>
      </c>
      <c r="C138" s="734"/>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687" t="s">
        <v>8</v>
      </c>
      <c r="L140" s="687"/>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697">
        <v>70458</v>
      </c>
      <c r="M141" s="697"/>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690" t="s">
        <v>367</v>
      </c>
      <c r="C143" s="690"/>
      <c r="D143" s="690"/>
      <c r="E143" s="690"/>
      <c r="F143" s="690"/>
      <c r="G143" s="690"/>
      <c r="H143" s="690"/>
      <c r="I143" s="690"/>
      <c r="J143" s="690"/>
      <c r="K143" s="690"/>
      <c r="L143" s="690"/>
      <c r="M143" s="690"/>
      <c r="N143" s="690"/>
      <c r="O143" s="690"/>
      <c r="P143" s="192"/>
      <c r="Q143" s="205"/>
      <c r="R143" s="269"/>
    </row>
    <row r="144" spans="1:22" ht="34.5" customHeight="1">
      <c r="A144" s="259"/>
      <c r="B144" s="684" t="s">
        <v>371</v>
      </c>
      <c r="C144" s="684"/>
      <c r="D144" s="684"/>
      <c r="E144" s="684"/>
      <c r="F144" s="684"/>
      <c r="G144" s="684"/>
      <c r="H144" s="684"/>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680">
        <v>5131</v>
      </c>
      <c r="M147" s="680"/>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690" t="s">
        <v>413</v>
      </c>
      <c r="C149" s="690"/>
      <c r="D149" s="690"/>
      <c r="E149" s="690"/>
      <c r="F149" s="690"/>
      <c r="G149" s="690"/>
      <c r="H149" s="690"/>
      <c r="I149" s="690"/>
      <c r="J149" s="690"/>
      <c r="K149" s="690"/>
      <c r="L149" s="690"/>
      <c r="M149" s="690"/>
      <c r="N149" s="690"/>
      <c r="O149" s="690"/>
      <c r="P149" s="192"/>
      <c r="Q149" s="205"/>
      <c r="R149" s="269"/>
    </row>
    <row r="150" spans="1:18" ht="21" customHeight="1">
      <c r="A150" s="259"/>
      <c r="B150" s="733" t="s">
        <v>372</v>
      </c>
      <c r="C150" s="733"/>
      <c r="D150" s="733"/>
      <c r="E150" s="733"/>
      <c r="F150" s="733"/>
      <c r="G150" s="733"/>
      <c r="H150" s="733"/>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687" t="s">
        <v>8</v>
      </c>
      <c r="L152" s="687"/>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680">
        <v>3457</v>
      </c>
      <c r="M153" s="680"/>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699" t="s">
        <v>440</v>
      </c>
      <c r="B155" s="693" t="s">
        <v>414</v>
      </c>
      <c r="C155" s="693"/>
      <c r="D155" s="693"/>
      <c r="E155" s="693"/>
      <c r="F155" s="693"/>
      <c r="G155" s="693"/>
      <c r="H155" s="693"/>
      <c r="I155" s="693"/>
      <c r="J155" s="693"/>
      <c r="K155" s="693"/>
      <c r="L155" s="693"/>
      <c r="M155" s="693"/>
      <c r="N155" s="693"/>
      <c r="O155" s="279"/>
      <c r="P155" s="207"/>
      <c r="Q155" s="208"/>
      <c r="R155" s="274"/>
    </row>
    <row r="156" spans="1:18" ht="36.75" customHeight="1">
      <c r="A156" s="699"/>
      <c r="B156" s="693"/>
      <c r="C156" s="693"/>
      <c r="D156" s="693"/>
      <c r="E156" s="693"/>
      <c r="F156" s="693"/>
      <c r="G156" s="693"/>
      <c r="H156" s="693"/>
      <c r="I156" s="693"/>
      <c r="J156" s="693"/>
      <c r="K156" s="693"/>
      <c r="L156" s="693"/>
      <c r="M156" s="693"/>
      <c r="N156" s="693"/>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733" t="s">
        <v>372</v>
      </c>
      <c r="C158" s="733"/>
      <c r="D158" s="733"/>
      <c r="E158" s="733"/>
      <c r="F158" s="733"/>
      <c r="G158" s="733"/>
      <c r="H158" s="733"/>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687" t="s">
        <v>8</v>
      </c>
      <c r="L160" s="687"/>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680">
        <v>1093</v>
      </c>
      <c r="M161" s="680"/>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690" t="s">
        <v>373</v>
      </c>
      <c r="C165" s="690"/>
      <c r="D165" s="690"/>
      <c r="E165" s="690"/>
      <c r="F165" s="690"/>
      <c r="G165" s="690"/>
      <c r="H165" s="690"/>
      <c r="I165" s="690"/>
      <c r="J165" s="690"/>
      <c r="K165" s="690"/>
      <c r="L165" s="690"/>
      <c r="M165" s="690"/>
      <c r="N165" s="690"/>
      <c r="O165" s="690"/>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687" t="s">
        <v>8</v>
      </c>
      <c r="L167" s="687"/>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680">
        <v>67</v>
      </c>
      <c r="M168" s="680"/>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699" t="s">
        <v>442</v>
      </c>
      <c r="B171" s="689" t="s">
        <v>415</v>
      </c>
      <c r="C171" s="689"/>
      <c r="D171" s="689"/>
      <c r="E171" s="689"/>
      <c r="F171" s="689"/>
      <c r="G171" s="689"/>
      <c r="H171" s="689"/>
      <c r="I171" s="689"/>
      <c r="J171" s="689"/>
      <c r="K171" s="689"/>
      <c r="L171" s="689"/>
      <c r="M171" s="689"/>
      <c r="N171" s="689"/>
      <c r="O171" s="689"/>
      <c r="P171" s="190"/>
      <c r="Q171" s="205"/>
      <c r="R171" s="269"/>
    </row>
    <row r="172" spans="1:30" ht="37.5" customHeight="1">
      <c r="A172" s="699"/>
      <c r="B172" s="689"/>
      <c r="C172" s="689"/>
      <c r="D172" s="689"/>
      <c r="E172" s="689"/>
      <c r="F172" s="689"/>
      <c r="G172" s="689"/>
      <c r="H172" s="689"/>
      <c r="I172" s="689"/>
      <c r="J172" s="689"/>
      <c r="K172" s="689"/>
      <c r="L172" s="689"/>
      <c r="M172" s="689"/>
      <c r="N172" s="689"/>
      <c r="O172" s="689"/>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687" t="s">
        <v>8</v>
      </c>
      <c r="L174" s="687"/>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680">
        <v>87</v>
      </c>
      <c r="M175" s="680"/>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681" t="s">
        <v>369</v>
      </c>
      <c r="O176" s="681"/>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681" t="s">
        <v>351</v>
      </c>
      <c r="O177" s="681"/>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682" t="s">
        <v>431</v>
      </c>
      <c r="B182" s="682"/>
      <c r="C182" s="682"/>
      <c r="D182" s="682"/>
      <c r="E182" s="682"/>
      <c r="F182" s="682"/>
      <c r="G182" s="682"/>
      <c r="H182" s="682"/>
      <c r="I182" s="682"/>
      <c r="J182" s="682"/>
      <c r="K182" s="682"/>
      <c r="L182" s="682"/>
      <c r="M182" s="682"/>
      <c r="N182" s="682"/>
      <c r="O182" s="682"/>
      <c r="P182" s="682"/>
      <c r="Q182" s="682"/>
      <c r="R182" s="682"/>
    </row>
    <row r="183" spans="1:30" ht="13.5" customHeight="1">
      <c r="A183" s="682"/>
      <c r="B183" s="682"/>
      <c r="C183" s="682"/>
      <c r="D183" s="682"/>
      <c r="E183" s="682"/>
      <c r="F183" s="682"/>
      <c r="G183" s="682"/>
      <c r="H183" s="682"/>
      <c r="I183" s="682"/>
      <c r="J183" s="682"/>
      <c r="K183" s="682"/>
      <c r="L183" s="682"/>
      <c r="M183" s="682"/>
      <c r="N183" s="682"/>
      <c r="O183" s="682"/>
      <c r="P183" s="682"/>
      <c r="Q183" s="682"/>
      <c r="R183" s="682"/>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683" t="s">
        <v>356</v>
      </c>
      <c r="B187" s="683"/>
      <c r="C187" s="683"/>
      <c r="D187" s="683"/>
      <c r="E187" s="683"/>
      <c r="F187" s="683"/>
      <c r="G187" s="683"/>
      <c r="H187" s="683"/>
      <c r="I187" s="683"/>
      <c r="J187" s="683"/>
      <c r="K187" s="683"/>
      <c r="L187" s="683"/>
      <c r="M187" s="683"/>
      <c r="N187" s="683"/>
      <c r="O187" s="683"/>
      <c r="P187" s="683"/>
      <c r="Q187" s="683"/>
      <c r="R187" s="683"/>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150:H150"/>
    <mergeCell ref="K152:L152"/>
    <mergeCell ref="L153:M153"/>
    <mergeCell ref="A155:A156"/>
    <mergeCell ref="B155:N156"/>
    <mergeCell ref="B158:H158"/>
    <mergeCell ref="K140:L140"/>
    <mergeCell ref="L141:M141"/>
    <mergeCell ref="B143:O143"/>
    <mergeCell ref="B144:H144"/>
    <mergeCell ref="L147:M147"/>
    <mergeCell ref="B149:O149"/>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721" t="s">
        <v>426</v>
      </c>
      <c r="B1" s="721"/>
      <c r="C1" s="721"/>
      <c r="D1" s="721"/>
      <c r="E1" s="721"/>
      <c r="F1" s="721"/>
      <c r="G1" s="721"/>
      <c r="H1" s="721"/>
      <c r="I1" s="721"/>
      <c r="J1" s="721"/>
      <c r="K1" s="721"/>
      <c r="L1" s="721"/>
      <c r="M1" s="721"/>
      <c r="N1" s="721"/>
      <c r="O1" s="721"/>
      <c r="P1" s="721"/>
      <c r="Q1" s="721"/>
      <c r="R1" s="721"/>
    </row>
    <row r="2" spans="1:30" ht="16.5" customHeight="1">
      <c r="A2" s="721"/>
      <c r="B2" s="721"/>
      <c r="C2" s="721"/>
      <c r="D2" s="721"/>
      <c r="E2" s="721"/>
      <c r="F2" s="721"/>
      <c r="G2" s="721"/>
      <c r="H2" s="721"/>
      <c r="I2" s="721"/>
      <c r="J2" s="721"/>
      <c r="K2" s="721"/>
      <c r="L2" s="721"/>
      <c r="M2" s="721"/>
      <c r="N2" s="721"/>
      <c r="O2" s="721"/>
      <c r="P2" s="721"/>
      <c r="Q2" s="721"/>
      <c r="R2" s="721"/>
    </row>
    <row r="3" spans="1:30" s="159" customFormat="1" ht="14.25" customHeight="1">
      <c r="A3" s="722" t="s">
        <v>425</v>
      </c>
      <c r="B3" s="722"/>
      <c r="C3" s="722"/>
      <c r="D3" s="722"/>
      <c r="E3" s="722"/>
      <c r="F3" s="722"/>
      <c r="G3" s="722"/>
      <c r="H3" s="722"/>
      <c r="I3" s="722"/>
      <c r="J3" s="722"/>
      <c r="K3" s="722"/>
      <c r="L3" s="722"/>
      <c r="M3" s="722"/>
      <c r="N3" s="722"/>
      <c r="O3" s="722"/>
      <c r="P3" s="722"/>
      <c r="Q3" s="722"/>
      <c r="R3" s="722"/>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723" t="s">
        <v>352</v>
      </c>
      <c r="C6" s="723"/>
      <c r="D6" s="723"/>
      <c r="E6" s="723"/>
      <c r="F6" s="723"/>
      <c r="G6" s="723"/>
      <c r="H6" s="723"/>
      <c r="I6" s="723"/>
      <c r="J6" s="723"/>
      <c r="K6" s="723"/>
      <c r="L6" s="723"/>
      <c r="M6" s="723"/>
      <c r="N6" s="723"/>
      <c r="O6" s="723"/>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724" t="s">
        <v>427</v>
      </c>
      <c r="C8" s="724"/>
      <c r="D8" s="724"/>
      <c r="E8" s="724"/>
      <c r="F8" s="724"/>
      <c r="G8" s="724"/>
      <c r="H8" s="724"/>
      <c r="I8" s="724"/>
      <c r="J8" s="724"/>
      <c r="K8" s="209"/>
      <c r="L8" s="209"/>
      <c r="M8" s="209"/>
      <c r="N8" s="209"/>
      <c r="O8" s="245"/>
      <c r="P8" s="182"/>
      <c r="Q8" s="182"/>
      <c r="R8" s="263"/>
    </row>
    <row r="9" spans="1:30" ht="13.5" customHeight="1">
      <c r="A9" s="258"/>
      <c r="B9" s="724" t="s">
        <v>357</v>
      </c>
      <c r="C9" s="724"/>
      <c r="D9" s="724"/>
      <c r="E9" s="724"/>
      <c r="F9" s="724"/>
      <c r="G9" s="724"/>
      <c r="H9" s="724"/>
      <c r="I9" s="724"/>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725"/>
      <c r="Y13" s="725"/>
      <c r="Z13" s="171"/>
      <c r="AA13" s="171"/>
      <c r="AB13" s="171"/>
      <c r="AC13" s="172"/>
      <c r="AD13" s="171"/>
    </row>
    <row r="14" spans="1:30" ht="15" customHeight="1">
      <c r="A14" s="262"/>
      <c r="B14" s="192"/>
      <c r="C14" s="192"/>
      <c r="D14" s="192"/>
      <c r="E14" s="185"/>
      <c r="F14" s="193" t="s">
        <v>350</v>
      </c>
      <c r="G14" s="194" t="s">
        <v>11</v>
      </c>
      <c r="H14" s="194">
        <v>1.58</v>
      </c>
      <c r="I14" s="701" t="s">
        <v>353</v>
      </c>
      <c r="J14" s="706"/>
      <c r="K14" s="185"/>
      <c r="L14" s="185"/>
      <c r="M14" s="184" t="s">
        <v>0</v>
      </c>
      <c r="N14" s="194">
        <f>H14*N13</f>
        <v>189.60000000000002</v>
      </c>
      <c r="O14" s="268" t="s">
        <v>100</v>
      </c>
      <c r="P14" s="185"/>
      <c r="Q14" s="185"/>
      <c r="R14" s="244"/>
      <c r="X14" s="173"/>
      <c r="Y14" s="171"/>
      <c r="Z14" s="171"/>
      <c r="AA14" s="171"/>
      <c r="AB14" s="171"/>
      <c r="AC14" s="172"/>
      <c r="AD14" s="171"/>
    </row>
    <row r="15" spans="1:30">
      <c r="A15" s="263"/>
      <c r="B15" s="719" t="s">
        <v>417</v>
      </c>
      <c r="C15" s="719"/>
      <c r="D15" s="719"/>
      <c r="E15" s="719"/>
      <c r="F15" s="719"/>
      <c r="G15" s="719"/>
      <c r="H15" s="719"/>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710" t="s">
        <v>385</v>
      </c>
      <c r="C16" s="710"/>
      <c r="D16" s="710"/>
      <c r="E16" s="710"/>
      <c r="F16" s="710"/>
      <c r="G16" s="710"/>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701" t="s">
        <v>353</v>
      </c>
      <c r="J18" s="706"/>
      <c r="K18" s="185"/>
      <c r="L18" s="185"/>
      <c r="M18" s="184" t="s">
        <v>0</v>
      </c>
      <c r="N18" s="194">
        <f>H18*N17</f>
        <v>115.83</v>
      </c>
      <c r="O18" s="268" t="s">
        <v>100</v>
      </c>
      <c r="P18" s="182"/>
      <c r="Q18" s="182"/>
      <c r="R18" s="262"/>
      <c r="U18" s="168"/>
      <c r="V18" s="168"/>
      <c r="W18" s="168"/>
      <c r="X18" s="720"/>
      <c r="Y18" s="720"/>
      <c r="Z18" s="720"/>
      <c r="AA18" s="720"/>
      <c r="AB18" s="720"/>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718" t="s">
        <v>386</v>
      </c>
      <c r="C20" s="718"/>
      <c r="D20" s="718"/>
      <c r="E20" s="718"/>
      <c r="F20" s="718"/>
      <c r="G20" s="718"/>
      <c r="H20" s="718"/>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710" t="s">
        <v>384</v>
      </c>
      <c r="C21" s="710"/>
      <c r="D21" s="710"/>
      <c r="E21" s="710"/>
      <c r="F21" s="710"/>
      <c r="G21" s="194"/>
      <c r="H21" s="194"/>
      <c r="I21" s="217"/>
      <c r="J21" s="196"/>
      <c r="K21" s="185"/>
      <c r="L21" s="185"/>
      <c r="M21" s="184"/>
      <c r="N21" s="194"/>
      <c r="O21" s="268"/>
      <c r="P21" s="182"/>
      <c r="Q21" s="182"/>
      <c r="R21" s="262"/>
      <c r="X21" s="173"/>
      <c r="Y21" s="177"/>
      <c r="Z21" s="177"/>
      <c r="AA21" s="177"/>
      <c r="AB21" s="177"/>
      <c r="AC21" s="172"/>
      <c r="AD21" s="171"/>
    </row>
    <row r="22" spans="1:30">
      <c r="A22" s="263"/>
      <c r="B22" s="710" t="s">
        <v>387</v>
      </c>
      <c r="C22" s="710"/>
      <c r="D22" s="710"/>
      <c r="E22" s="710"/>
      <c r="F22" s="710"/>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710" t="s">
        <v>388</v>
      </c>
      <c r="C23" s="710"/>
      <c r="D23" s="710"/>
      <c r="E23" s="710"/>
      <c r="F23" s="710"/>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710" t="s">
        <v>389</v>
      </c>
      <c r="C24" s="710"/>
      <c r="D24" s="710"/>
      <c r="E24" s="710"/>
      <c r="F24" s="710"/>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701" t="s">
        <v>353</v>
      </c>
      <c r="J26" s="706"/>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710" t="s">
        <v>385</v>
      </c>
      <c r="C28" s="710"/>
      <c r="D28" s="710"/>
      <c r="E28" s="710"/>
      <c r="F28" s="710"/>
      <c r="G28" s="710"/>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701" t="s">
        <v>353</v>
      </c>
      <c r="J30" s="706"/>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718" t="s">
        <v>390</v>
      </c>
      <c r="C33" s="718"/>
      <c r="D33" s="718"/>
      <c r="E33" s="718"/>
      <c r="F33" s="718"/>
      <c r="G33" s="718"/>
      <c r="H33" s="718"/>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710" t="s">
        <v>387</v>
      </c>
      <c r="C35" s="710"/>
      <c r="D35" s="710"/>
      <c r="E35" s="710"/>
      <c r="F35" s="710"/>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710" t="s">
        <v>388</v>
      </c>
      <c r="C36" s="710"/>
      <c r="D36" s="710"/>
      <c r="E36" s="710"/>
      <c r="F36" s="710"/>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701" t="s">
        <v>353</v>
      </c>
      <c r="J38" s="706"/>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710" t="s">
        <v>385</v>
      </c>
      <c r="C40" s="710"/>
      <c r="D40" s="710"/>
      <c r="E40" s="710"/>
      <c r="F40" s="710"/>
      <c r="G40" s="710"/>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701" t="s">
        <v>353</v>
      </c>
      <c r="J42" s="706"/>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714" t="s">
        <v>391</v>
      </c>
      <c r="C47" s="714"/>
      <c r="D47" s="714"/>
      <c r="E47" s="714"/>
      <c r="F47" s="714"/>
      <c r="G47" s="194"/>
      <c r="H47" s="194"/>
      <c r="I47" s="217"/>
      <c r="J47" s="196"/>
      <c r="K47" s="185"/>
      <c r="L47" s="185"/>
      <c r="M47" s="184"/>
      <c r="N47" s="194"/>
      <c r="O47" s="157"/>
      <c r="R47" s="157"/>
      <c r="X47" s="173"/>
      <c r="Y47" s="177"/>
      <c r="Z47" s="177"/>
      <c r="AA47" s="177"/>
      <c r="AB47" s="177"/>
      <c r="AC47" s="172"/>
      <c r="AD47" s="171"/>
    </row>
    <row r="48" spans="1:30">
      <c r="A48" s="263"/>
      <c r="B48" s="716" t="s">
        <v>422</v>
      </c>
      <c r="C48" s="716"/>
      <c r="D48" s="716"/>
      <c r="E48" s="716"/>
      <c r="F48" s="716"/>
      <c r="G48" s="716"/>
      <c r="H48" s="716"/>
      <c r="I48" s="217"/>
      <c r="J48" s="196"/>
      <c r="K48" s="185"/>
      <c r="L48" s="185"/>
      <c r="M48" s="184"/>
      <c r="N48" s="194"/>
      <c r="O48" s="268"/>
      <c r="P48" s="182"/>
      <c r="Q48" s="182"/>
      <c r="R48" s="262"/>
      <c r="X48" s="173"/>
      <c r="Y48" s="177"/>
      <c r="Z48" s="177"/>
      <c r="AA48" s="177"/>
      <c r="AB48" s="177"/>
      <c r="AC48" s="172"/>
      <c r="AD48" s="171"/>
    </row>
    <row r="49" spans="1:30">
      <c r="A49" s="263"/>
      <c r="B49" s="708" t="s">
        <v>392</v>
      </c>
      <c r="C49" s="708"/>
      <c r="D49" s="708"/>
      <c r="E49" s="708"/>
      <c r="F49" s="708"/>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708" t="s">
        <v>393</v>
      </c>
      <c r="C50" s="708"/>
      <c r="D50" s="708"/>
      <c r="E50" s="708"/>
      <c r="F50" s="708"/>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708" t="s">
        <v>394</v>
      </c>
      <c r="C51" s="708"/>
      <c r="D51" s="708"/>
      <c r="E51" s="708"/>
      <c r="F51" s="708"/>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708" t="s">
        <v>393</v>
      </c>
      <c r="C52" s="708"/>
      <c r="D52" s="708"/>
      <c r="E52" s="708"/>
      <c r="F52" s="708"/>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708" t="s">
        <v>395</v>
      </c>
      <c r="C53" s="708"/>
      <c r="D53" s="708"/>
      <c r="E53" s="708"/>
      <c r="F53" s="708"/>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708" t="s">
        <v>393</v>
      </c>
      <c r="C54" s="708"/>
      <c r="D54" s="708"/>
      <c r="E54" s="708"/>
      <c r="F54" s="708"/>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708" t="s">
        <v>396</v>
      </c>
      <c r="C55" s="708"/>
      <c r="D55" s="708"/>
      <c r="E55" s="708"/>
      <c r="F55" s="708"/>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708" t="s">
        <v>393</v>
      </c>
      <c r="C56" s="708"/>
      <c r="D56" s="708"/>
      <c r="E56" s="708"/>
      <c r="F56" s="708"/>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711" t="s">
        <v>397</v>
      </c>
      <c r="C58" s="711"/>
      <c r="D58" s="711"/>
      <c r="E58" s="711"/>
      <c r="F58" s="711"/>
      <c r="G58" s="711"/>
      <c r="H58" s="711"/>
      <c r="I58" s="220"/>
      <c r="J58" s="221"/>
      <c r="K58" s="220"/>
      <c r="L58" s="222"/>
      <c r="M58" s="223"/>
      <c r="N58" s="224"/>
      <c r="O58" s="271"/>
      <c r="P58" s="219"/>
      <c r="Q58" s="219"/>
      <c r="R58" s="271"/>
      <c r="X58" s="173"/>
      <c r="Y58" s="177"/>
      <c r="Z58" s="177"/>
      <c r="AA58" s="177"/>
      <c r="AB58" s="177"/>
      <c r="AC58" s="172"/>
      <c r="AD58" s="171"/>
    </row>
    <row r="59" spans="1:30" ht="15" customHeight="1">
      <c r="A59" s="263"/>
      <c r="B59" s="712" t="s">
        <v>429</v>
      </c>
      <c r="C59" s="712"/>
      <c r="D59" s="712"/>
      <c r="E59" s="712"/>
      <c r="F59" s="712"/>
      <c r="G59" s="712"/>
      <c r="H59" s="712"/>
      <c r="I59" s="183"/>
      <c r="J59" s="203"/>
      <c r="K59" s="183"/>
      <c r="L59" s="186"/>
      <c r="M59" s="190"/>
      <c r="N59" s="213"/>
      <c r="O59" s="262"/>
      <c r="P59" s="182"/>
      <c r="Q59" s="182"/>
      <c r="R59" s="262"/>
      <c r="X59" s="173"/>
      <c r="Y59" s="177"/>
      <c r="Z59" s="177"/>
      <c r="AA59" s="177"/>
      <c r="AB59" s="177"/>
      <c r="AC59" s="172"/>
      <c r="AD59" s="171"/>
    </row>
    <row r="60" spans="1:30" ht="15" customHeight="1">
      <c r="A60" s="263"/>
      <c r="B60" s="705" t="s">
        <v>392</v>
      </c>
      <c r="C60" s="705"/>
      <c r="D60" s="705"/>
      <c r="E60" s="705"/>
      <c r="F60" s="705"/>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705" t="s">
        <v>393</v>
      </c>
      <c r="C61" s="705"/>
      <c r="D61" s="705"/>
      <c r="E61" s="705"/>
      <c r="F61" s="705"/>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705" t="s">
        <v>395</v>
      </c>
      <c r="C62" s="705"/>
      <c r="D62" s="705"/>
      <c r="E62" s="705"/>
      <c r="F62" s="705"/>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705" t="s">
        <v>393</v>
      </c>
      <c r="C63" s="705"/>
      <c r="D63" s="705"/>
      <c r="E63" s="705"/>
      <c r="F63" s="705"/>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701" t="s">
        <v>353</v>
      </c>
      <c r="J65" s="706"/>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703" t="s">
        <v>359</v>
      </c>
      <c r="J67" s="703"/>
      <c r="K67" s="703"/>
      <c r="L67" s="703"/>
      <c r="M67" s="228" t="s">
        <v>0</v>
      </c>
      <c r="N67" s="248">
        <f>N65+N42+N38+N30+N26+N18+N14</f>
        <v>2116.2529999999997</v>
      </c>
      <c r="O67" s="282" t="s">
        <v>100</v>
      </c>
      <c r="P67" s="190"/>
      <c r="Q67" s="205"/>
      <c r="R67" s="269"/>
    </row>
    <row r="68" spans="1:30" ht="31.5" customHeight="1">
      <c r="A68" s="262"/>
      <c r="B68" s="717" t="s">
        <v>430</v>
      </c>
      <c r="C68" s="717"/>
      <c r="D68" s="717"/>
      <c r="E68" s="717"/>
      <c r="F68" s="717"/>
      <c r="G68" s="717"/>
      <c r="H68" s="717"/>
      <c r="I68" s="717"/>
      <c r="J68" s="717"/>
      <c r="K68" s="717"/>
      <c r="L68" s="717"/>
      <c r="M68" s="183" t="s">
        <v>0</v>
      </c>
      <c r="N68" s="288">
        <f>N67*0.05</f>
        <v>105.81264999999999</v>
      </c>
      <c r="O68" s="274"/>
      <c r="P68" s="190"/>
      <c r="Q68" s="205"/>
      <c r="R68" s="269"/>
    </row>
    <row r="69" spans="1:30">
      <c r="A69" s="262"/>
      <c r="B69" s="229"/>
      <c r="C69" s="229"/>
      <c r="D69" s="229"/>
      <c r="E69" s="229"/>
      <c r="F69" s="229"/>
      <c r="G69" s="229"/>
      <c r="H69" s="687" t="s">
        <v>398</v>
      </c>
      <c r="I69" s="687"/>
      <c r="J69" s="687"/>
      <c r="K69" s="687"/>
      <c r="L69" s="687"/>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680">
        <v>9938</v>
      </c>
      <c r="M71" s="680"/>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690" t="s">
        <v>354</v>
      </c>
      <c r="C73" s="690"/>
      <c r="D73" s="690"/>
      <c r="E73" s="690"/>
      <c r="F73" s="690"/>
      <c r="G73" s="690"/>
      <c r="H73" s="690"/>
      <c r="I73" s="690"/>
      <c r="J73" s="690"/>
      <c r="K73" s="690"/>
      <c r="L73" s="690"/>
      <c r="M73" s="690"/>
      <c r="N73" s="690"/>
      <c r="O73" s="690"/>
      <c r="P73" s="184"/>
      <c r="Q73" s="197"/>
      <c r="R73" s="268"/>
    </row>
    <row r="74" spans="1:30" ht="19.5" customHeight="1">
      <c r="A74" s="262"/>
      <c r="B74" s="700" t="s">
        <v>378</v>
      </c>
      <c r="C74" s="700"/>
      <c r="D74" s="700"/>
      <c r="E74" s="700"/>
      <c r="F74" s="700"/>
      <c r="G74" s="700"/>
      <c r="H74" s="700"/>
      <c r="I74" s="700"/>
      <c r="J74" s="700"/>
      <c r="K74" s="190"/>
      <c r="L74" s="187"/>
      <c r="M74" s="190"/>
      <c r="N74" s="213"/>
      <c r="O74" s="262"/>
      <c r="P74" s="200"/>
      <c r="Q74" s="200"/>
      <c r="R74" s="265"/>
    </row>
    <row r="75" spans="1:30" ht="21" customHeight="1">
      <c r="A75" s="263"/>
      <c r="B75" s="731" t="s">
        <v>411</v>
      </c>
      <c r="C75" s="731"/>
      <c r="D75" s="731"/>
      <c r="E75" s="731"/>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731" t="s">
        <v>412</v>
      </c>
      <c r="C76" s="731"/>
      <c r="D76" s="731"/>
      <c r="E76" s="731"/>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702" t="s">
        <v>375</v>
      </c>
      <c r="C78" s="702"/>
      <c r="D78" s="702"/>
      <c r="E78" s="702"/>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702" t="s">
        <v>349</v>
      </c>
      <c r="C79" s="702"/>
      <c r="D79" s="702"/>
      <c r="E79" s="702"/>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687" t="s">
        <v>8</v>
      </c>
      <c r="L80" s="687"/>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680">
        <v>389</v>
      </c>
      <c r="M81" s="680"/>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690" t="s">
        <v>362</v>
      </c>
      <c r="C92" s="690"/>
      <c r="D92" s="690"/>
      <c r="E92" s="690"/>
      <c r="F92" s="690"/>
      <c r="G92" s="690"/>
      <c r="H92" s="690"/>
      <c r="I92" s="690"/>
      <c r="J92" s="690"/>
      <c r="K92" s="690"/>
      <c r="L92" s="690"/>
      <c r="M92" s="690"/>
      <c r="N92" s="690"/>
      <c r="O92" s="690"/>
      <c r="P92" s="200"/>
      <c r="Q92" s="200"/>
      <c r="R92" s="265"/>
    </row>
    <row r="93" spans="1:22" ht="19.5" customHeight="1">
      <c r="A93" s="294"/>
      <c r="B93" s="732" t="s">
        <v>361</v>
      </c>
      <c r="C93" s="732"/>
      <c r="D93" s="732"/>
      <c r="E93" s="732"/>
      <c r="F93" s="732"/>
      <c r="G93" s="732"/>
      <c r="H93" s="732"/>
      <c r="I93" s="732"/>
      <c r="J93" s="732"/>
      <c r="K93" s="190"/>
      <c r="L93" s="187"/>
      <c r="M93" s="190"/>
      <c r="N93" s="213"/>
      <c r="O93" s="294"/>
      <c r="P93" s="200"/>
      <c r="Q93" s="200"/>
      <c r="R93" s="265"/>
    </row>
    <row r="94" spans="1:22" ht="18" customHeight="1">
      <c r="A94" s="244"/>
      <c r="B94" s="701" t="s">
        <v>411</v>
      </c>
      <c r="C94" s="701"/>
      <c r="D94" s="701"/>
      <c r="E94" s="701"/>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732" t="s">
        <v>428</v>
      </c>
      <c r="C95" s="732"/>
      <c r="D95" s="732"/>
      <c r="E95" s="732"/>
      <c r="F95" s="732"/>
      <c r="G95" s="732"/>
      <c r="H95" s="732"/>
      <c r="I95" s="732"/>
      <c r="J95" s="732"/>
      <c r="K95" s="295"/>
      <c r="L95" s="186"/>
      <c r="M95" s="190"/>
      <c r="N95" s="199"/>
      <c r="O95" s="294"/>
      <c r="P95" s="185"/>
      <c r="Q95" s="185"/>
      <c r="R95" s="244"/>
    </row>
    <row r="96" spans="1:22" ht="15" customHeight="1">
      <c r="A96" s="244"/>
      <c r="B96" s="700"/>
      <c r="C96" s="700"/>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702" t="s">
        <v>375</v>
      </c>
      <c r="C98" s="702"/>
      <c r="D98" s="702"/>
      <c r="E98" s="702"/>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735" t="s">
        <v>349</v>
      </c>
      <c r="C99" s="735"/>
      <c r="D99" s="735"/>
      <c r="E99" s="735"/>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687" t="s">
        <v>8</v>
      </c>
      <c r="L100" s="687"/>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680">
        <v>7310</v>
      </c>
      <c r="M101" s="680"/>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690" t="s">
        <v>355</v>
      </c>
      <c r="C104" s="690"/>
      <c r="D104" s="690"/>
      <c r="E104" s="690"/>
      <c r="F104" s="690"/>
      <c r="G104" s="690"/>
      <c r="H104" s="690"/>
      <c r="I104" s="690"/>
      <c r="J104" s="690"/>
      <c r="K104" s="690"/>
      <c r="L104" s="690"/>
      <c r="M104" s="690"/>
      <c r="N104" s="690"/>
      <c r="O104" s="690"/>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687" t="s">
        <v>8</v>
      </c>
      <c r="L110" s="687"/>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680">
        <v>817</v>
      </c>
      <c r="M112" s="680"/>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690" t="s">
        <v>363</v>
      </c>
      <c r="C115" s="690"/>
      <c r="D115" s="690"/>
      <c r="E115" s="690"/>
      <c r="F115" s="690"/>
      <c r="G115" s="690"/>
      <c r="H115" s="690"/>
      <c r="I115" s="690"/>
      <c r="J115" s="690"/>
      <c r="K115" s="690"/>
      <c r="L115" s="690"/>
      <c r="M115" s="690"/>
      <c r="N115" s="690"/>
      <c r="O115" s="690"/>
      <c r="P115" s="190"/>
      <c r="Q115" s="205"/>
      <c r="R115" s="269"/>
    </row>
    <row r="116" spans="1:18" ht="51.75" customHeight="1">
      <c r="A116" s="244"/>
      <c r="B116" s="699" t="s">
        <v>443</v>
      </c>
      <c r="C116" s="699"/>
      <c r="D116" s="699"/>
      <c r="E116" s="699"/>
      <c r="F116" s="699" t="s">
        <v>424</v>
      </c>
      <c r="G116" s="699"/>
      <c r="H116" s="699"/>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680">
        <v>213</v>
      </c>
      <c r="M119" s="680"/>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690" t="s">
        <v>364</v>
      </c>
      <c r="C133" s="690"/>
      <c r="D133" s="690"/>
      <c r="E133" s="690"/>
      <c r="F133" s="690"/>
      <c r="G133" s="690"/>
      <c r="H133" s="690"/>
      <c r="I133" s="690"/>
      <c r="J133" s="690"/>
      <c r="K133" s="690"/>
      <c r="L133" s="690"/>
      <c r="M133" s="690"/>
      <c r="N133" s="690"/>
      <c r="O133" s="690"/>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734" t="s">
        <v>366</v>
      </c>
      <c r="C135" s="734"/>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687" t="s">
        <v>8</v>
      </c>
      <c r="L137" s="687"/>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697">
        <v>70458</v>
      </c>
      <c r="M138" s="697"/>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690" t="s">
        <v>367</v>
      </c>
      <c r="C140" s="690"/>
      <c r="D140" s="690"/>
      <c r="E140" s="690"/>
      <c r="F140" s="690"/>
      <c r="G140" s="690"/>
      <c r="H140" s="690"/>
      <c r="I140" s="690"/>
      <c r="J140" s="690"/>
      <c r="K140" s="690"/>
      <c r="L140" s="690"/>
      <c r="M140" s="690"/>
      <c r="N140" s="690"/>
      <c r="O140" s="690"/>
      <c r="P140" s="192"/>
      <c r="Q140" s="205"/>
      <c r="R140" s="269"/>
    </row>
    <row r="141" spans="1:22" ht="34.5" customHeight="1">
      <c r="A141" s="259"/>
      <c r="B141" s="684" t="s">
        <v>371</v>
      </c>
      <c r="C141" s="684"/>
      <c r="D141" s="684"/>
      <c r="E141" s="684"/>
      <c r="F141" s="684"/>
      <c r="G141" s="684"/>
      <c r="H141" s="684"/>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680">
        <v>5131</v>
      </c>
      <c r="M144" s="680"/>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690" t="s">
        <v>413</v>
      </c>
      <c r="C146" s="690"/>
      <c r="D146" s="690"/>
      <c r="E146" s="690"/>
      <c r="F146" s="690"/>
      <c r="G146" s="690"/>
      <c r="H146" s="690"/>
      <c r="I146" s="690"/>
      <c r="J146" s="690"/>
      <c r="K146" s="690"/>
      <c r="L146" s="690"/>
      <c r="M146" s="690"/>
      <c r="N146" s="690"/>
      <c r="O146" s="690"/>
      <c r="P146" s="192"/>
      <c r="Q146" s="205"/>
      <c r="R146" s="269"/>
    </row>
    <row r="147" spans="1:18" ht="21" customHeight="1">
      <c r="A147" s="259"/>
      <c r="B147" s="733" t="s">
        <v>372</v>
      </c>
      <c r="C147" s="733"/>
      <c r="D147" s="733"/>
      <c r="E147" s="733"/>
      <c r="F147" s="733"/>
      <c r="G147" s="733"/>
      <c r="H147" s="733"/>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687" t="s">
        <v>8</v>
      </c>
      <c r="L149" s="687"/>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680">
        <v>3457</v>
      </c>
      <c r="M150" s="680"/>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699" t="s">
        <v>440</v>
      </c>
      <c r="B152" s="693" t="s">
        <v>414</v>
      </c>
      <c r="C152" s="693"/>
      <c r="D152" s="693"/>
      <c r="E152" s="693"/>
      <c r="F152" s="693"/>
      <c r="G152" s="693"/>
      <c r="H152" s="693"/>
      <c r="I152" s="693"/>
      <c r="J152" s="693"/>
      <c r="K152" s="693"/>
      <c r="L152" s="693"/>
      <c r="M152" s="693"/>
      <c r="N152" s="693"/>
      <c r="O152" s="279"/>
      <c r="P152" s="207"/>
      <c r="Q152" s="208"/>
      <c r="R152" s="274"/>
    </row>
    <row r="153" spans="1:18" ht="36.75" customHeight="1">
      <c r="A153" s="699"/>
      <c r="B153" s="693"/>
      <c r="C153" s="693"/>
      <c r="D153" s="693"/>
      <c r="E153" s="693"/>
      <c r="F153" s="693"/>
      <c r="G153" s="693"/>
      <c r="H153" s="693"/>
      <c r="I153" s="693"/>
      <c r="J153" s="693"/>
      <c r="K153" s="693"/>
      <c r="L153" s="693"/>
      <c r="M153" s="693"/>
      <c r="N153" s="693"/>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733" t="s">
        <v>372</v>
      </c>
      <c r="C155" s="733"/>
      <c r="D155" s="733"/>
      <c r="E155" s="733"/>
      <c r="F155" s="733"/>
      <c r="G155" s="733"/>
      <c r="H155" s="733"/>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687" t="s">
        <v>8</v>
      </c>
      <c r="L157" s="687"/>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680">
        <v>1093</v>
      </c>
      <c r="M158" s="680"/>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690" t="s">
        <v>373</v>
      </c>
      <c r="C171" s="690"/>
      <c r="D171" s="690"/>
      <c r="E171" s="690"/>
      <c r="F171" s="690"/>
      <c r="G171" s="690"/>
      <c r="H171" s="690"/>
      <c r="I171" s="690"/>
      <c r="J171" s="690"/>
      <c r="K171" s="690"/>
      <c r="L171" s="690"/>
      <c r="M171" s="690"/>
      <c r="N171" s="690"/>
      <c r="O171" s="690"/>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687" t="s">
        <v>8</v>
      </c>
      <c r="L173" s="687"/>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680">
        <v>67</v>
      </c>
      <c r="M174" s="680"/>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699" t="s">
        <v>442</v>
      </c>
      <c r="B177" s="689" t="s">
        <v>415</v>
      </c>
      <c r="C177" s="689"/>
      <c r="D177" s="689"/>
      <c r="E177" s="689"/>
      <c r="F177" s="689"/>
      <c r="G177" s="689"/>
      <c r="H177" s="689"/>
      <c r="I177" s="689"/>
      <c r="J177" s="689"/>
      <c r="K177" s="689"/>
      <c r="L177" s="689"/>
      <c r="M177" s="689"/>
      <c r="N177" s="689"/>
      <c r="O177" s="689"/>
      <c r="P177" s="190"/>
      <c r="Q177" s="205"/>
      <c r="R177" s="269"/>
    </row>
    <row r="178" spans="1:30" ht="37.5" customHeight="1">
      <c r="A178" s="699"/>
      <c r="B178" s="689"/>
      <c r="C178" s="689"/>
      <c r="D178" s="689"/>
      <c r="E178" s="689"/>
      <c r="F178" s="689"/>
      <c r="G178" s="689"/>
      <c r="H178" s="689"/>
      <c r="I178" s="689"/>
      <c r="J178" s="689"/>
      <c r="K178" s="689"/>
      <c r="L178" s="689"/>
      <c r="M178" s="689"/>
      <c r="N178" s="689"/>
      <c r="O178" s="689"/>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687" t="s">
        <v>8</v>
      </c>
      <c r="L180" s="687"/>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680">
        <v>87</v>
      </c>
      <c r="M181" s="680"/>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681" t="s">
        <v>369</v>
      </c>
      <c r="O182" s="681"/>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681" t="s">
        <v>351</v>
      </c>
      <c r="O183" s="681"/>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682" t="s">
        <v>431</v>
      </c>
      <c r="B188" s="682"/>
      <c r="C188" s="682"/>
      <c r="D188" s="682"/>
      <c r="E188" s="682"/>
      <c r="F188" s="682"/>
      <c r="G188" s="682"/>
      <c r="H188" s="682"/>
      <c r="I188" s="682"/>
      <c r="J188" s="682"/>
      <c r="K188" s="682"/>
      <c r="L188" s="682"/>
      <c r="M188" s="682"/>
      <c r="N188" s="682"/>
      <c r="O188" s="682"/>
      <c r="P188" s="682"/>
      <c r="Q188" s="682"/>
      <c r="R188" s="682"/>
    </row>
    <row r="189" spans="1:30" ht="13.5" customHeight="1">
      <c r="A189" s="682"/>
      <c r="B189" s="682"/>
      <c r="C189" s="682"/>
      <c r="D189" s="682"/>
      <c r="E189" s="682"/>
      <c r="F189" s="682"/>
      <c r="G189" s="682"/>
      <c r="H189" s="682"/>
      <c r="I189" s="682"/>
      <c r="J189" s="682"/>
      <c r="K189" s="682"/>
      <c r="L189" s="682"/>
      <c r="M189" s="682"/>
      <c r="N189" s="682"/>
      <c r="O189" s="682"/>
      <c r="P189" s="682"/>
      <c r="Q189" s="682"/>
      <c r="R189" s="682"/>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683" t="s">
        <v>356</v>
      </c>
      <c r="B193" s="683"/>
      <c r="C193" s="683"/>
      <c r="D193" s="683"/>
      <c r="E193" s="683"/>
      <c r="F193" s="683"/>
      <c r="G193" s="683"/>
      <c r="H193" s="683"/>
      <c r="I193" s="683"/>
      <c r="J193" s="683"/>
      <c r="K193" s="683"/>
      <c r="L193" s="683"/>
      <c r="M193" s="683"/>
      <c r="N193" s="683"/>
      <c r="O193" s="683"/>
      <c r="P193" s="683"/>
      <c r="Q193" s="683"/>
      <c r="R193" s="683"/>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R2"/>
    <mergeCell ref="I14:J14"/>
    <mergeCell ref="B15:H15"/>
    <mergeCell ref="I18:J18"/>
    <mergeCell ref="A3:R3"/>
    <mergeCell ref="B9:I9"/>
    <mergeCell ref="B6:O6"/>
    <mergeCell ref="B16:G16"/>
    <mergeCell ref="B8:J8"/>
    <mergeCell ref="B20:H20"/>
    <mergeCell ref="B49:F49"/>
    <mergeCell ref="B22:F22"/>
    <mergeCell ref="B23:F23"/>
    <mergeCell ref="B24:F24"/>
    <mergeCell ref="B36:F36"/>
    <mergeCell ref="I26:J26"/>
    <mergeCell ref="I30:J30"/>
    <mergeCell ref="B28:G28"/>
    <mergeCell ref="B21:F21"/>
    <mergeCell ref="B35:F35"/>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A177:A178"/>
    <mergeCell ref="K180:L180"/>
    <mergeCell ref="A152:A153"/>
    <mergeCell ref="K149:L149"/>
    <mergeCell ref="L150:M150"/>
    <mergeCell ref="B146:O146"/>
    <mergeCell ref="B147:H147"/>
    <mergeCell ref="K173:L173"/>
    <mergeCell ref="L138:M138"/>
    <mergeCell ref="B63:F63"/>
    <mergeCell ref="B115:O115"/>
    <mergeCell ref="B99:E99"/>
    <mergeCell ref="B96:C96"/>
  </mergeCells>
  <phoneticPr fontId="5" type="noConversion"/>
  <pageMargins left="0.39" right="0.46" top="0.6" bottom="0.4" header="0.43" footer="0.4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736" t="str">
        <f>'Mawblei (Original)'!A1:R2</f>
        <v>ESTIMATE FOR CONSTRUCTION OF PARKING LOT CUM WORKSHOP FOR BUSES AT MAWBLEI,SHILLONG,EAST KHASI HILLS,MEGHALAYA.</v>
      </c>
      <c r="B1" s="737"/>
      <c r="C1" s="737"/>
      <c r="D1" s="738"/>
      <c r="F1" s="318"/>
      <c r="G1" s="318"/>
      <c r="H1" s="318"/>
      <c r="I1" s="318"/>
      <c r="J1" s="318"/>
      <c r="K1" s="318"/>
      <c r="L1" s="318"/>
      <c r="M1" s="318"/>
      <c r="N1" s="318"/>
      <c r="O1" s="318"/>
      <c r="P1" s="318"/>
      <c r="Q1" s="318"/>
      <c r="R1" s="318"/>
      <c r="S1" s="318"/>
      <c r="T1" s="318"/>
      <c r="U1" s="318"/>
      <c r="V1" s="318"/>
      <c r="W1" s="318"/>
    </row>
    <row r="2" spans="1:23" ht="38.25" customHeight="1">
      <c r="A2" s="739" t="s">
        <v>410</v>
      </c>
      <c r="B2" s="708"/>
      <c r="C2" s="708"/>
      <c r="D2" s="740"/>
      <c r="F2" s="318"/>
      <c r="G2" s="318"/>
      <c r="H2" s="318"/>
      <c r="I2" s="318"/>
      <c r="J2" s="318"/>
      <c r="K2" s="318"/>
      <c r="L2" s="318"/>
      <c r="M2" s="318"/>
      <c r="N2" s="318"/>
      <c r="O2" s="318"/>
      <c r="P2" s="318"/>
      <c r="Q2" s="318"/>
      <c r="R2" s="318"/>
      <c r="S2" s="318"/>
      <c r="T2" s="318"/>
      <c r="U2" s="318"/>
      <c r="V2" s="318"/>
      <c r="W2" s="318"/>
    </row>
    <row r="3" spans="1:23" ht="27.75" customHeight="1">
      <c r="A3" s="741" t="s">
        <v>399</v>
      </c>
      <c r="B3" s="742"/>
      <c r="C3" s="742"/>
      <c r="D3" s="743"/>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747" t="s">
        <v>408</v>
      </c>
      <c r="B10" s="748"/>
      <c r="C10" s="327">
        <f>SUM(C6:C8)</f>
        <v>4743460.6255999999</v>
      </c>
      <c r="D10" s="332"/>
    </row>
    <row r="11" spans="1:23" ht="39" customHeight="1">
      <c r="A11" s="749" t="s">
        <v>409</v>
      </c>
      <c r="B11" s="750"/>
      <c r="C11" s="326">
        <f>C10</f>
        <v>4743460.6255999999</v>
      </c>
      <c r="D11" s="333"/>
    </row>
    <row r="12" spans="1:23" ht="32.25" customHeight="1">
      <c r="A12" s="334"/>
      <c r="B12" s="168"/>
      <c r="C12" s="168"/>
      <c r="D12" s="335"/>
    </row>
    <row r="13" spans="1:23" ht="54" customHeight="1" thickBot="1">
      <c r="A13" s="744" t="s">
        <v>488</v>
      </c>
      <c r="B13" s="745"/>
      <c r="C13" s="745"/>
      <c r="D13" s="746"/>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dimension ref="A1:R103"/>
  <sheetViews>
    <sheetView tabSelected="1" view="pageBreakPreview" zoomScaleSheetLayoutView="100" workbookViewId="0">
      <selection activeCell="F13" sqref="F13"/>
    </sheetView>
  </sheetViews>
  <sheetFormatPr defaultRowHeight="12.75"/>
  <cols>
    <col min="1" max="1" width="5.85546875" customWidth="1"/>
    <col min="2" max="2" width="12.5703125" customWidth="1"/>
    <col min="3" max="3" width="8" customWidth="1"/>
    <col min="4" max="4" width="10.7109375" customWidth="1"/>
    <col min="5" max="5" width="4.28515625" customWidth="1"/>
    <col min="7" max="7" width="12.5703125" customWidth="1"/>
    <col min="8" max="8" width="2.7109375" style="551" customWidth="1"/>
    <col min="9" max="9" width="4.42578125" customWidth="1"/>
    <col min="10" max="10" width="17.28515625" customWidth="1"/>
    <col min="13" max="13" width="16.28515625" customWidth="1"/>
  </cols>
  <sheetData>
    <row r="1" spans="1:10" s="564" customFormat="1" ht="30.75" customHeight="1">
      <c r="A1" s="757" t="s">
        <v>541</v>
      </c>
      <c r="B1" s="757"/>
      <c r="C1" s="757"/>
      <c r="D1" s="757"/>
      <c r="E1" s="757"/>
      <c r="F1" s="757"/>
      <c r="G1" s="757"/>
      <c r="H1" s="757"/>
      <c r="I1" s="757"/>
      <c r="J1" s="757"/>
    </row>
    <row r="2" spans="1:10" s="564" customFormat="1" ht="33.75" customHeight="1">
      <c r="A2" s="574"/>
      <c r="B2" s="758" t="s">
        <v>560</v>
      </c>
      <c r="C2" s="759"/>
      <c r="D2" s="759"/>
      <c r="E2" s="759"/>
      <c r="F2" s="759"/>
      <c r="G2" s="759"/>
      <c r="H2" s="759"/>
      <c r="I2" s="759"/>
      <c r="J2" s="759"/>
    </row>
    <row r="3" spans="1:10" s="564" customFormat="1" ht="35.25" customHeight="1">
      <c r="A3" s="760" t="s">
        <v>558</v>
      </c>
      <c r="B3" s="761"/>
      <c r="C3" s="761"/>
      <c r="D3" s="761"/>
      <c r="E3" s="761"/>
      <c r="F3" s="761"/>
      <c r="G3" s="761"/>
      <c r="H3" s="761"/>
      <c r="I3" s="761"/>
      <c r="J3" s="761"/>
    </row>
    <row r="4" spans="1:10" s="564" customFormat="1" ht="14.25">
      <c r="A4" s="565"/>
      <c r="B4" s="566"/>
      <c r="C4" s="566"/>
      <c r="D4" s="566"/>
      <c r="E4" s="566"/>
      <c r="F4" s="566"/>
      <c r="G4" s="566"/>
      <c r="H4" s="549"/>
      <c r="I4" s="548"/>
      <c r="J4" s="556"/>
    </row>
    <row r="5" spans="1:10" s="564" customFormat="1" ht="14.25">
      <c r="A5" s="565"/>
      <c r="B5" s="566"/>
      <c r="C5" s="566"/>
      <c r="D5" s="566"/>
      <c r="E5" s="566"/>
      <c r="F5" s="566"/>
      <c r="G5" s="566"/>
      <c r="H5" s="549"/>
      <c r="I5" s="548"/>
      <c r="J5" s="556"/>
    </row>
    <row r="6" spans="1:10" s="564" customFormat="1" ht="14.25">
      <c r="A6" s="565"/>
      <c r="B6" s="566"/>
      <c r="C6" s="566"/>
      <c r="D6" s="566"/>
      <c r="E6" s="566"/>
      <c r="F6" s="566"/>
      <c r="G6" s="566"/>
      <c r="H6" s="549"/>
      <c r="I6" s="548"/>
      <c r="J6" s="556"/>
    </row>
    <row r="7" spans="1:10" ht="14.25">
      <c r="A7" s="281"/>
      <c r="B7" s="753"/>
      <c r="C7" s="753"/>
      <c r="D7" s="753"/>
      <c r="E7" s="753"/>
      <c r="F7" s="753"/>
      <c r="G7" s="753"/>
      <c r="H7" s="562"/>
      <c r="I7" s="544"/>
      <c r="J7" s="571"/>
    </row>
    <row r="8" spans="1:10" ht="15.75">
      <c r="A8" s="548"/>
      <c r="B8" s="754" t="s">
        <v>559</v>
      </c>
      <c r="C8" s="754"/>
      <c r="D8" s="754"/>
      <c r="E8" s="754"/>
      <c r="F8" s="754"/>
      <c r="G8" s="754"/>
      <c r="H8" s="549"/>
      <c r="I8" s="548"/>
      <c r="J8" s="554"/>
    </row>
    <row r="9" spans="1:10" ht="15.75">
      <c r="A9" s="761"/>
      <c r="B9" s="761"/>
      <c r="C9" s="761"/>
      <c r="D9" s="761"/>
      <c r="E9" s="761"/>
      <c r="F9" s="761"/>
      <c r="G9" s="761"/>
      <c r="H9" s="761"/>
      <c r="I9" s="761"/>
      <c r="J9" s="761"/>
    </row>
    <row r="10" spans="1:10">
      <c r="A10" s="137" t="s">
        <v>542</v>
      </c>
      <c r="B10" s="763" t="s">
        <v>543</v>
      </c>
      <c r="C10" s="763"/>
      <c r="D10" s="137"/>
      <c r="E10" s="137"/>
      <c r="F10" s="137"/>
      <c r="G10" s="137"/>
      <c r="H10" s="560"/>
      <c r="I10" s="137"/>
      <c r="J10" s="553" t="s">
        <v>544</v>
      </c>
    </row>
    <row r="11" spans="1:10" ht="14.25">
      <c r="A11" s="555">
        <v>1</v>
      </c>
      <c r="B11" s="764" t="s">
        <v>546</v>
      </c>
      <c r="C11" s="764"/>
      <c r="D11" s="548"/>
      <c r="E11" s="548"/>
      <c r="F11" s="548"/>
      <c r="G11" s="548"/>
      <c r="H11" s="549" t="s">
        <v>0</v>
      </c>
      <c r="I11" s="548" t="s">
        <v>11</v>
      </c>
      <c r="J11" s="568">
        <v>13631098</v>
      </c>
    </row>
    <row r="12" spans="1:10" ht="14.25">
      <c r="A12" s="555">
        <v>2</v>
      </c>
      <c r="B12" s="765" t="s">
        <v>547</v>
      </c>
      <c r="C12" s="765"/>
      <c r="D12" s="548"/>
      <c r="E12" s="548"/>
      <c r="F12" s="548"/>
      <c r="G12" s="548"/>
      <c r="H12" s="549" t="s">
        <v>0</v>
      </c>
      <c r="I12" s="548" t="s">
        <v>11</v>
      </c>
      <c r="J12" s="568">
        <v>13631098</v>
      </c>
    </row>
    <row r="13" spans="1:10" ht="14.25">
      <c r="A13" s="555">
        <v>3</v>
      </c>
      <c r="B13" s="765" t="s">
        <v>555</v>
      </c>
      <c r="C13" s="765"/>
      <c r="D13" s="548"/>
      <c r="E13" s="548"/>
      <c r="F13" s="544"/>
      <c r="G13" s="544"/>
      <c r="H13" s="562" t="s">
        <v>0</v>
      </c>
      <c r="I13" s="544" t="s">
        <v>11</v>
      </c>
      <c r="J13" s="568">
        <v>13631098</v>
      </c>
    </row>
    <row r="14" spans="1:10" ht="14.25">
      <c r="A14" s="552">
        <v>8</v>
      </c>
      <c r="B14" s="766" t="s">
        <v>556</v>
      </c>
      <c r="C14" s="766"/>
      <c r="D14" s="545"/>
      <c r="E14" s="545"/>
      <c r="F14" s="545"/>
      <c r="G14" s="545"/>
      <c r="H14" s="561" t="s">
        <v>0</v>
      </c>
      <c r="I14" s="545" t="s">
        <v>11</v>
      </c>
      <c r="J14" s="570">
        <v>13631098</v>
      </c>
    </row>
    <row r="15" spans="1:10" ht="15">
      <c r="A15" s="548"/>
      <c r="B15" s="548"/>
      <c r="C15" s="548"/>
      <c r="D15" s="548"/>
      <c r="E15" s="548"/>
      <c r="F15" s="752" t="s">
        <v>8</v>
      </c>
      <c r="G15" s="752"/>
      <c r="H15" s="563" t="s">
        <v>0</v>
      </c>
      <c r="I15" s="547" t="s">
        <v>11</v>
      </c>
      <c r="J15" s="569">
        <f>SUM(J11:J14)</f>
        <v>54524392</v>
      </c>
    </row>
    <row r="16" spans="1:10" ht="14.25">
      <c r="A16" s="548"/>
      <c r="B16" s="762" t="s">
        <v>553</v>
      </c>
      <c r="C16" s="762"/>
      <c r="D16" s="762"/>
      <c r="E16" s="762"/>
      <c r="F16" s="762"/>
      <c r="G16" s="762"/>
      <c r="H16" s="549" t="s">
        <v>0</v>
      </c>
      <c r="I16" s="548" t="s">
        <v>11</v>
      </c>
      <c r="J16" s="568">
        <f>J15*0.075</f>
        <v>4089329.4</v>
      </c>
    </row>
    <row r="17" spans="1:10" ht="14.25">
      <c r="A17" s="548"/>
      <c r="B17" s="548"/>
      <c r="C17" s="762" t="s">
        <v>548</v>
      </c>
      <c r="D17" s="762"/>
      <c r="E17" s="762"/>
      <c r="F17" s="762"/>
      <c r="G17" s="762"/>
      <c r="H17" s="549" t="s">
        <v>0</v>
      </c>
      <c r="I17" s="548" t="s">
        <v>11</v>
      </c>
      <c r="J17" s="568">
        <f>J16</f>
        <v>4089329.4</v>
      </c>
    </row>
    <row r="18" spans="1:10" ht="14.25">
      <c r="A18" s="548"/>
      <c r="B18" s="548"/>
      <c r="C18" s="762" t="s">
        <v>551</v>
      </c>
      <c r="D18" s="762"/>
      <c r="E18" s="762"/>
      <c r="F18" s="762"/>
      <c r="G18" s="762"/>
      <c r="H18" s="549" t="s">
        <v>0</v>
      </c>
      <c r="I18" s="548" t="s">
        <v>11</v>
      </c>
      <c r="J18" s="568">
        <f>J17</f>
        <v>4089329.4</v>
      </c>
    </row>
    <row r="19" spans="1:10" ht="14.25">
      <c r="A19" s="548"/>
      <c r="B19" s="548"/>
      <c r="C19" s="762" t="s">
        <v>549</v>
      </c>
      <c r="D19" s="762"/>
      <c r="E19" s="762"/>
      <c r="F19" s="762"/>
      <c r="G19" s="762"/>
      <c r="H19" s="549" t="s">
        <v>0</v>
      </c>
      <c r="I19" s="548" t="s">
        <v>11</v>
      </c>
      <c r="J19" s="568">
        <f>J15*0.01</f>
        <v>545243.92000000004</v>
      </c>
    </row>
    <row r="20" spans="1:10" ht="14.25">
      <c r="A20" s="548"/>
      <c r="B20" s="762" t="s">
        <v>552</v>
      </c>
      <c r="C20" s="762"/>
      <c r="D20" s="762"/>
      <c r="E20" s="762"/>
      <c r="F20" s="762"/>
      <c r="G20" s="762"/>
      <c r="H20" s="549" t="s">
        <v>0</v>
      </c>
      <c r="I20" s="548" t="s">
        <v>11</v>
      </c>
      <c r="J20" s="568">
        <f>J15*0.03</f>
        <v>1635731.76</v>
      </c>
    </row>
    <row r="21" spans="1:10" ht="14.25">
      <c r="A21" s="545"/>
      <c r="B21" s="768" t="s">
        <v>545</v>
      </c>
      <c r="C21" s="768"/>
      <c r="D21" s="768"/>
      <c r="E21" s="768"/>
      <c r="F21" s="768"/>
      <c r="G21" s="768"/>
      <c r="H21" s="561" t="s">
        <v>0</v>
      </c>
      <c r="I21" s="545" t="s">
        <v>11</v>
      </c>
      <c r="J21" s="570">
        <f>J16</f>
        <v>4089329.4</v>
      </c>
    </row>
    <row r="22" spans="1:10" ht="15">
      <c r="A22" s="548"/>
      <c r="B22" s="548"/>
      <c r="C22" s="548"/>
      <c r="D22" s="548"/>
      <c r="E22" s="548"/>
      <c r="F22" s="752" t="s">
        <v>8</v>
      </c>
      <c r="G22" s="752"/>
      <c r="H22" s="563" t="s">
        <v>0</v>
      </c>
      <c r="I22" s="547" t="s">
        <v>11</v>
      </c>
      <c r="J22" s="569">
        <f>SUM(J15:J21)</f>
        <v>73062685.280000001</v>
      </c>
    </row>
    <row r="23" spans="1:10" ht="56.25" customHeight="1">
      <c r="A23" s="545"/>
      <c r="B23" s="769" t="s">
        <v>557</v>
      </c>
      <c r="C23" s="769"/>
      <c r="D23" s="769"/>
      <c r="E23" s="769"/>
      <c r="F23" s="769"/>
      <c r="G23" s="769"/>
      <c r="H23" s="561" t="s">
        <v>0</v>
      </c>
      <c r="I23" s="545" t="s">
        <v>11</v>
      </c>
      <c r="J23" s="570">
        <f>J22*0.2</f>
        <v>14612537.056000002</v>
      </c>
    </row>
    <row r="24" spans="1:10" ht="15">
      <c r="A24" s="548"/>
      <c r="B24" s="548"/>
      <c r="C24" s="548"/>
      <c r="D24" s="548"/>
      <c r="E24" s="548"/>
      <c r="F24" s="752" t="s">
        <v>550</v>
      </c>
      <c r="G24" s="752"/>
      <c r="H24" s="563" t="s">
        <v>0</v>
      </c>
      <c r="I24" s="547" t="s">
        <v>11</v>
      </c>
      <c r="J24" s="569">
        <f>SUM(J22:J23)</f>
        <v>87675222.335999995</v>
      </c>
    </row>
    <row r="25" spans="1:10" ht="15">
      <c r="A25" s="548"/>
      <c r="B25" s="548"/>
      <c r="C25" s="548"/>
      <c r="D25" s="548"/>
      <c r="E25" s="548"/>
      <c r="F25" s="559"/>
      <c r="G25" s="559" t="s">
        <v>351</v>
      </c>
      <c r="H25" s="563" t="s">
        <v>0</v>
      </c>
      <c r="I25" s="547" t="s">
        <v>11</v>
      </c>
      <c r="J25" s="569">
        <f>ROUND(J24,0)</f>
        <v>87675222</v>
      </c>
    </row>
    <row r="26" spans="1:10" ht="33" customHeight="1">
      <c r="A26" s="548"/>
      <c r="B26" s="767" t="s">
        <v>554</v>
      </c>
      <c r="C26" s="767"/>
      <c r="D26" s="767"/>
      <c r="E26" s="767"/>
      <c r="F26" s="767"/>
      <c r="G26" s="767"/>
      <c r="H26" s="767"/>
      <c r="I26" s="767"/>
      <c r="J26" s="767"/>
    </row>
    <row r="27" spans="1:10" ht="14.25">
      <c r="A27" s="544"/>
      <c r="B27" s="544"/>
      <c r="C27" s="544"/>
      <c r="D27" s="544"/>
      <c r="E27" s="544"/>
      <c r="F27" s="544"/>
      <c r="G27" s="544"/>
      <c r="H27" s="562"/>
      <c r="I27" s="544"/>
      <c r="J27" s="558"/>
    </row>
    <row r="28" spans="1:10" ht="14.25">
      <c r="A28" s="544"/>
      <c r="B28" s="544"/>
      <c r="C28" s="544"/>
      <c r="D28" s="544"/>
      <c r="E28" s="544"/>
      <c r="F28" s="751"/>
      <c r="G28" s="751"/>
      <c r="H28" s="562"/>
      <c r="I28" s="544"/>
      <c r="J28" s="558"/>
    </row>
    <row r="29" spans="1:10" ht="14.25">
      <c r="A29" s="557"/>
      <c r="B29" s="544"/>
      <c r="C29" s="544"/>
      <c r="D29" s="544"/>
      <c r="E29" s="544"/>
      <c r="F29" s="544"/>
      <c r="G29" s="544"/>
      <c r="H29" s="562"/>
      <c r="I29" s="544"/>
      <c r="J29" s="558"/>
    </row>
    <row r="30" spans="1:10" ht="14.25">
      <c r="A30" s="544"/>
      <c r="B30" s="544"/>
      <c r="C30" s="544"/>
      <c r="D30" s="544"/>
      <c r="E30" s="544"/>
      <c r="F30" s="544"/>
      <c r="G30" s="544"/>
      <c r="H30" s="562"/>
      <c r="I30" s="544"/>
      <c r="J30" s="558"/>
    </row>
    <row r="31" spans="1:10" ht="14.25">
      <c r="A31" s="544"/>
      <c r="B31" s="544"/>
      <c r="C31" s="544"/>
      <c r="D31" s="544"/>
      <c r="E31" s="544"/>
      <c r="F31" s="544"/>
      <c r="G31" s="544"/>
      <c r="H31" s="562"/>
      <c r="I31" s="544"/>
      <c r="J31" s="558"/>
    </row>
    <row r="32" spans="1:10" ht="14.25">
      <c r="A32" s="544"/>
      <c r="B32" s="544"/>
      <c r="C32" s="544"/>
      <c r="D32" s="544"/>
      <c r="E32" s="544"/>
      <c r="F32" s="751"/>
      <c r="G32" s="751"/>
      <c r="H32" s="562"/>
      <c r="I32" s="544"/>
      <c r="J32" s="558"/>
    </row>
    <row r="33" spans="1:18" ht="16.5" customHeight="1">
      <c r="A33" s="755" t="s">
        <v>537</v>
      </c>
      <c r="B33" s="755"/>
      <c r="C33" s="755" t="s">
        <v>538</v>
      </c>
      <c r="D33" s="755"/>
      <c r="F33" s="756" t="s">
        <v>539</v>
      </c>
      <c r="G33" s="756"/>
      <c r="H33" s="756"/>
      <c r="I33" s="755" t="s">
        <v>540</v>
      </c>
      <c r="J33" s="755"/>
      <c r="L33" s="542"/>
      <c r="M33" s="542"/>
      <c r="N33" s="542"/>
      <c r="O33" s="267"/>
      <c r="Q33" s="542"/>
      <c r="R33" s="542"/>
    </row>
    <row r="34" spans="1:18" ht="16.5">
      <c r="A34" s="542"/>
      <c r="B34" s="542"/>
      <c r="C34" s="542"/>
      <c r="D34" s="542"/>
      <c r="E34" s="266"/>
      <c r="F34" s="542"/>
      <c r="G34" s="542"/>
      <c r="H34" s="542"/>
      <c r="I34" s="542"/>
      <c r="J34" s="543"/>
      <c r="K34" s="542"/>
      <c r="L34" s="542"/>
      <c r="M34" s="542"/>
      <c r="N34" s="542"/>
      <c r="O34" s="542"/>
      <c r="P34" s="542"/>
      <c r="Q34" s="542"/>
      <c r="R34" s="542"/>
    </row>
    <row r="35" spans="1:18" ht="14.25">
      <c r="A35" s="544"/>
      <c r="B35" s="544"/>
      <c r="C35" s="544"/>
      <c r="D35" s="544"/>
      <c r="E35" s="544"/>
      <c r="F35" s="751"/>
      <c r="G35" s="751"/>
      <c r="H35" s="562"/>
      <c r="I35" s="544"/>
      <c r="J35" s="558"/>
    </row>
    <row r="36" spans="1:18" ht="14.25">
      <c r="A36" s="544"/>
      <c r="B36" s="544"/>
      <c r="C36" s="544"/>
      <c r="D36" s="544"/>
      <c r="E36" s="544"/>
      <c r="F36" s="557"/>
      <c r="G36" s="557"/>
      <c r="H36" s="562"/>
      <c r="I36" s="544"/>
      <c r="J36" s="558"/>
    </row>
    <row r="37" spans="1:18" ht="14.25">
      <c r="A37" s="557"/>
      <c r="B37" s="544"/>
      <c r="C37" s="544"/>
      <c r="D37" s="544"/>
      <c r="E37" s="544"/>
      <c r="F37" s="544"/>
      <c r="G37" s="544"/>
      <c r="H37" s="562"/>
      <c r="I37" s="544"/>
      <c r="J37" s="558"/>
    </row>
    <row r="38" spans="1:18" ht="14.25">
      <c r="A38" s="544"/>
      <c r="B38" s="544"/>
      <c r="C38" s="544"/>
      <c r="D38" s="544"/>
      <c r="E38" s="544"/>
      <c r="F38" s="544"/>
      <c r="G38" s="544"/>
      <c r="H38" s="562"/>
      <c r="I38" s="544"/>
      <c r="J38" s="558"/>
    </row>
    <row r="39" spans="1:18" ht="14.25">
      <c r="A39" s="544"/>
      <c r="B39" s="544"/>
      <c r="C39" s="544"/>
      <c r="D39" s="544"/>
      <c r="E39" s="544"/>
      <c r="F39" s="544"/>
      <c r="G39" s="544"/>
      <c r="H39" s="562"/>
      <c r="I39" s="544"/>
      <c r="J39" s="558"/>
    </row>
    <row r="40" spans="1:18" ht="14.25">
      <c r="A40" s="544"/>
      <c r="B40" s="544"/>
      <c r="C40" s="544"/>
      <c r="D40" s="544"/>
      <c r="E40" s="544"/>
      <c r="F40" s="751"/>
      <c r="G40" s="751"/>
      <c r="H40" s="562"/>
      <c r="I40" s="544"/>
      <c r="J40" s="558"/>
    </row>
    <row r="41" spans="1:18" ht="14.25">
      <c r="A41" s="281"/>
      <c r="B41" s="753"/>
      <c r="C41" s="753"/>
      <c r="D41" s="753"/>
      <c r="E41" s="753"/>
      <c r="F41" s="753"/>
      <c r="G41" s="753"/>
      <c r="H41" s="562"/>
      <c r="I41" s="544"/>
      <c r="J41" s="571"/>
    </row>
    <row r="42" spans="1:18" ht="14.25">
      <c r="A42" s="281"/>
      <c r="B42" s="753"/>
      <c r="C42" s="753"/>
      <c r="D42" s="753"/>
      <c r="E42" s="753"/>
      <c r="F42" s="753"/>
      <c r="G42" s="753"/>
      <c r="H42" s="562"/>
      <c r="I42" s="544"/>
      <c r="J42" s="571"/>
    </row>
    <row r="43" spans="1:18" ht="14.25">
      <c r="A43" s="544"/>
      <c r="B43" s="544"/>
      <c r="C43" s="544"/>
      <c r="D43" s="544"/>
      <c r="E43" s="544"/>
      <c r="F43" s="751"/>
      <c r="G43" s="751"/>
      <c r="H43" s="562"/>
      <c r="I43" s="544"/>
      <c r="J43" s="558"/>
    </row>
    <row r="44" spans="1:18" ht="14.25">
      <c r="A44" s="544"/>
      <c r="B44" s="544"/>
      <c r="C44" s="544"/>
      <c r="D44" s="544"/>
      <c r="E44" s="544"/>
      <c r="F44" s="557"/>
      <c r="G44" s="557"/>
      <c r="H44" s="562"/>
      <c r="I44" s="544"/>
      <c r="J44" s="558"/>
    </row>
    <row r="45" spans="1:18" ht="14.25">
      <c r="A45" s="557"/>
      <c r="B45" s="544"/>
      <c r="C45" s="544"/>
      <c r="D45" s="544"/>
      <c r="E45" s="544"/>
      <c r="F45" s="544"/>
      <c r="G45" s="544"/>
      <c r="H45" s="562"/>
      <c r="I45" s="544"/>
      <c r="J45" s="558"/>
    </row>
    <row r="46" spans="1:18" ht="14.25">
      <c r="A46" s="544"/>
      <c r="B46" s="544"/>
      <c r="C46" s="544"/>
      <c r="D46" s="544"/>
      <c r="E46" s="544"/>
      <c r="F46" s="544"/>
      <c r="G46" s="544"/>
      <c r="H46" s="562"/>
      <c r="I46" s="544"/>
      <c r="J46" s="558"/>
    </row>
    <row r="47" spans="1:18" ht="14.25">
      <c r="A47" s="544"/>
      <c r="B47" s="544"/>
      <c r="C47" s="544"/>
      <c r="D47" s="544"/>
      <c r="E47" s="544"/>
      <c r="F47" s="544"/>
      <c r="G47" s="544"/>
      <c r="H47" s="562"/>
      <c r="I47" s="544"/>
      <c r="J47" s="558"/>
    </row>
    <row r="48" spans="1:18" ht="14.25">
      <c r="A48" s="544"/>
      <c r="B48" s="544"/>
      <c r="C48" s="544"/>
      <c r="D48" s="544"/>
      <c r="E48" s="544"/>
      <c r="F48" s="751"/>
      <c r="G48" s="751"/>
      <c r="H48" s="562"/>
      <c r="I48" s="544"/>
      <c r="J48" s="558"/>
    </row>
    <row r="49" spans="1:10" ht="14.25">
      <c r="A49" s="281"/>
      <c r="B49" s="753"/>
      <c r="C49" s="753"/>
      <c r="D49" s="753"/>
      <c r="E49" s="753"/>
      <c r="F49" s="753"/>
      <c r="G49" s="753"/>
      <c r="H49" s="562"/>
      <c r="I49" s="544"/>
      <c r="J49" s="571"/>
    </row>
    <row r="50" spans="1:10" ht="14.25">
      <c r="A50" s="281"/>
      <c r="B50" s="753"/>
      <c r="C50" s="753"/>
      <c r="D50" s="753"/>
      <c r="E50" s="753"/>
      <c r="F50" s="753"/>
      <c r="G50" s="753"/>
      <c r="H50" s="562"/>
      <c r="I50" s="544"/>
      <c r="J50" s="571"/>
    </row>
    <row r="51" spans="1:10" ht="14.25">
      <c r="A51" s="544"/>
      <c r="B51" s="544"/>
      <c r="C51" s="544"/>
      <c r="D51" s="544"/>
      <c r="E51" s="544"/>
      <c r="F51" s="751"/>
      <c r="G51" s="751"/>
      <c r="H51" s="562"/>
      <c r="I51" s="544"/>
      <c r="J51" s="558"/>
    </row>
    <row r="52" spans="1:10" ht="14.25">
      <c r="A52" s="544"/>
      <c r="B52" s="544"/>
      <c r="C52" s="544"/>
      <c r="D52" s="544"/>
      <c r="E52" s="544"/>
      <c r="F52" s="557"/>
      <c r="G52" s="557"/>
      <c r="H52" s="562"/>
      <c r="I52" s="544"/>
      <c r="J52" s="558"/>
    </row>
    <row r="53" spans="1:10" ht="14.25">
      <c r="A53" s="557"/>
      <c r="B53" s="544"/>
      <c r="C53" s="544"/>
      <c r="D53" s="544"/>
      <c r="E53" s="544"/>
      <c r="F53" s="544"/>
      <c r="G53" s="544"/>
      <c r="H53" s="562"/>
      <c r="I53" s="544"/>
      <c r="J53" s="558"/>
    </row>
    <row r="54" spans="1:10" ht="14.25">
      <c r="A54" s="544"/>
      <c r="B54" s="544"/>
      <c r="C54" s="544"/>
      <c r="D54" s="544"/>
      <c r="E54" s="544"/>
      <c r="F54" s="544"/>
      <c r="G54" s="544"/>
      <c r="H54" s="562"/>
      <c r="I54" s="544"/>
      <c r="J54" s="558"/>
    </row>
    <row r="55" spans="1:10" ht="14.25">
      <c r="A55" s="544"/>
      <c r="B55" s="544"/>
      <c r="C55" s="544"/>
      <c r="D55" s="544"/>
      <c r="E55" s="544"/>
      <c r="F55" s="544"/>
      <c r="G55" s="544"/>
      <c r="H55" s="562"/>
      <c r="I55" s="544"/>
      <c r="J55" s="558"/>
    </row>
    <row r="56" spans="1:10" ht="14.25">
      <c r="A56" s="544"/>
      <c r="B56" s="544"/>
      <c r="C56" s="544"/>
      <c r="D56" s="544"/>
      <c r="E56" s="544"/>
      <c r="F56" s="751"/>
      <c r="G56" s="751"/>
      <c r="H56" s="562"/>
      <c r="I56" s="544"/>
      <c r="J56" s="558"/>
    </row>
    <row r="57" spans="1:10" ht="14.25">
      <c r="A57" s="281"/>
      <c r="B57" s="753"/>
      <c r="C57" s="753"/>
      <c r="D57" s="753"/>
      <c r="E57" s="753"/>
      <c r="F57" s="753"/>
      <c r="G57" s="753"/>
      <c r="H57" s="562"/>
      <c r="I57" s="544"/>
      <c r="J57" s="571"/>
    </row>
    <row r="58" spans="1:10" ht="14.25">
      <c r="A58" s="281"/>
      <c r="B58" s="753"/>
      <c r="C58" s="753"/>
      <c r="D58" s="753"/>
      <c r="E58" s="753"/>
      <c r="F58" s="753"/>
      <c r="G58" s="753"/>
      <c r="H58" s="562"/>
      <c r="I58" s="544"/>
      <c r="J58" s="571"/>
    </row>
    <row r="59" spans="1:10" ht="14.25">
      <c r="A59" s="544"/>
      <c r="B59" s="544"/>
      <c r="C59" s="544"/>
      <c r="D59" s="544"/>
      <c r="E59" s="544"/>
      <c r="F59" s="751"/>
      <c r="G59" s="751"/>
      <c r="H59" s="562"/>
      <c r="I59" s="544"/>
      <c r="J59" s="558"/>
    </row>
    <row r="60" spans="1:10" ht="14.25">
      <c r="A60" s="544"/>
      <c r="B60" s="544"/>
      <c r="C60" s="544"/>
      <c r="D60" s="544"/>
      <c r="E60" s="544"/>
      <c r="F60" s="557"/>
      <c r="G60" s="557"/>
      <c r="H60" s="562"/>
      <c r="I60" s="544"/>
      <c r="J60" s="558"/>
    </row>
    <row r="61" spans="1:10" ht="14.25">
      <c r="A61" s="557"/>
      <c r="B61" s="544"/>
      <c r="C61" s="544"/>
      <c r="D61" s="544"/>
      <c r="E61" s="544"/>
      <c r="F61" s="544"/>
      <c r="G61" s="544"/>
      <c r="H61" s="562"/>
      <c r="I61" s="544"/>
      <c r="J61" s="558"/>
    </row>
    <row r="62" spans="1:10" ht="14.25">
      <c r="A62" s="544"/>
      <c r="B62" s="544"/>
      <c r="C62" s="544"/>
      <c r="D62" s="544"/>
      <c r="E62" s="544"/>
      <c r="F62" s="544"/>
      <c r="G62" s="544"/>
      <c r="H62" s="562"/>
      <c r="I62" s="544"/>
      <c r="J62" s="558"/>
    </row>
    <row r="63" spans="1:10" ht="14.25">
      <c r="A63" s="544"/>
      <c r="B63" s="544"/>
      <c r="C63" s="544"/>
      <c r="D63" s="544"/>
      <c r="E63" s="544"/>
      <c r="F63" s="544"/>
      <c r="G63" s="544"/>
      <c r="H63" s="562"/>
      <c r="I63" s="544"/>
      <c r="J63" s="558"/>
    </row>
    <row r="64" spans="1:10" ht="14.25">
      <c r="A64" s="544"/>
      <c r="B64" s="544"/>
      <c r="C64" s="544"/>
      <c r="D64" s="544"/>
      <c r="E64" s="544"/>
      <c r="F64" s="751"/>
      <c r="G64" s="751"/>
      <c r="H64" s="562"/>
      <c r="I64" s="544"/>
      <c r="J64" s="558"/>
    </row>
    <row r="65" spans="1:10" ht="14.25">
      <c r="A65" s="281"/>
      <c r="B65" s="753"/>
      <c r="C65" s="753"/>
      <c r="D65" s="753"/>
      <c r="E65" s="753"/>
      <c r="F65" s="753"/>
      <c r="G65" s="753"/>
      <c r="H65" s="562"/>
      <c r="I65" s="544"/>
      <c r="J65" s="571"/>
    </row>
    <row r="66" spans="1:10" ht="14.25">
      <c r="A66" s="281"/>
      <c r="B66" s="753"/>
      <c r="C66" s="753"/>
      <c r="D66" s="753"/>
      <c r="E66" s="753"/>
      <c r="F66" s="753"/>
      <c r="G66" s="753"/>
      <c r="H66" s="562"/>
      <c r="I66" s="544"/>
      <c r="J66" s="571"/>
    </row>
    <row r="67" spans="1:10" ht="14.25">
      <c r="A67" s="544"/>
      <c r="B67" s="544"/>
      <c r="C67" s="544"/>
      <c r="D67" s="544"/>
      <c r="E67" s="544"/>
      <c r="F67" s="751"/>
      <c r="G67" s="751"/>
      <c r="H67" s="562"/>
      <c r="I67" s="544"/>
      <c r="J67" s="558"/>
    </row>
    <row r="68" spans="1:10" ht="14.25">
      <c r="A68" s="544"/>
      <c r="B68" s="544"/>
      <c r="C68" s="544"/>
      <c r="D68" s="544"/>
      <c r="E68" s="544"/>
      <c r="F68" s="557"/>
      <c r="G68" s="557"/>
      <c r="H68" s="562"/>
      <c r="I68" s="544"/>
      <c r="J68" s="558"/>
    </row>
    <row r="69" spans="1:10" ht="14.25">
      <c r="A69" s="544"/>
      <c r="B69" s="544"/>
      <c r="C69" s="544"/>
      <c r="D69" s="544"/>
      <c r="E69" s="544"/>
      <c r="F69" s="557"/>
      <c r="G69" s="557"/>
      <c r="H69" s="562"/>
      <c r="I69" s="544"/>
      <c r="J69" s="558"/>
    </row>
    <row r="70" spans="1:10" ht="14.25">
      <c r="A70" s="544"/>
      <c r="B70" s="544"/>
      <c r="C70" s="544"/>
      <c r="D70" s="544"/>
      <c r="E70" s="544"/>
      <c r="F70" s="557"/>
      <c r="G70" s="557"/>
      <c r="H70" s="562"/>
      <c r="I70" s="544"/>
      <c r="J70" s="558"/>
    </row>
    <row r="71" spans="1:10" ht="14.25">
      <c r="A71" s="557"/>
      <c r="B71" s="544"/>
      <c r="C71" s="544"/>
      <c r="D71" s="544"/>
      <c r="E71" s="544"/>
      <c r="F71" s="544"/>
      <c r="G71" s="544"/>
      <c r="H71" s="562"/>
      <c r="I71" s="544"/>
      <c r="J71" s="558"/>
    </row>
    <row r="72" spans="1:10" ht="14.25">
      <c r="A72" s="544"/>
      <c r="B72" s="544"/>
      <c r="C72" s="544"/>
      <c r="D72" s="544"/>
      <c r="E72" s="544"/>
      <c r="F72" s="544"/>
      <c r="G72" s="544"/>
      <c r="H72" s="562"/>
      <c r="I72" s="544"/>
      <c r="J72" s="558"/>
    </row>
    <row r="73" spans="1:10" ht="14.25">
      <c r="A73" s="544"/>
      <c r="B73" s="544"/>
      <c r="C73" s="544"/>
      <c r="D73" s="544"/>
      <c r="E73" s="544"/>
      <c r="F73" s="544"/>
      <c r="G73" s="544"/>
      <c r="H73" s="562"/>
      <c r="I73" s="544"/>
      <c r="J73" s="558"/>
    </row>
    <row r="74" spans="1:10" ht="14.25">
      <c r="A74" s="544"/>
      <c r="B74" s="544"/>
      <c r="C74" s="544"/>
      <c r="D74" s="544"/>
      <c r="E74" s="544"/>
      <c r="F74" s="751"/>
      <c r="G74" s="751"/>
      <c r="H74" s="562"/>
      <c r="I74" s="544"/>
      <c r="J74" s="558"/>
    </row>
    <row r="75" spans="1:10" ht="14.25">
      <c r="A75" s="281"/>
      <c r="B75" s="753"/>
      <c r="C75" s="753"/>
      <c r="D75" s="753"/>
      <c r="E75" s="753"/>
      <c r="F75" s="753"/>
      <c r="G75" s="753"/>
      <c r="H75" s="562"/>
      <c r="I75" s="544"/>
      <c r="J75" s="571"/>
    </row>
    <row r="76" spans="1:10" ht="14.25">
      <c r="A76" s="281"/>
      <c r="B76" s="753"/>
      <c r="C76" s="753"/>
      <c r="D76" s="753"/>
      <c r="E76" s="753"/>
      <c r="F76" s="753"/>
      <c r="G76" s="753"/>
      <c r="H76" s="562"/>
      <c r="I76" s="544"/>
      <c r="J76" s="571"/>
    </row>
    <row r="77" spans="1:10" ht="14.25">
      <c r="A77" s="544"/>
      <c r="B77" s="544"/>
      <c r="C77" s="544"/>
      <c r="D77" s="544"/>
      <c r="E77" s="544"/>
      <c r="F77" s="751"/>
      <c r="G77" s="751"/>
      <c r="H77" s="562"/>
      <c r="I77" s="544"/>
      <c r="J77" s="558"/>
    </row>
    <row r="78" spans="1:10" ht="14.25">
      <c r="A78" s="544"/>
      <c r="B78" s="544"/>
      <c r="C78" s="544"/>
      <c r="D78" s="544"/>
      <c r="E78" s="544"/>
      <c r="F78" s="557"/>
      <c r="G78" s="557"/>
      <c r="H78" s="562"/>
      <c r="I78" s="544"/>
      <c r="J78" s="558"/>
    </row>
    <row r="79" spans="1:10" ht="14.25">
      <c r="A79" s="557"/>
      <c r="B79" s="544"/>
      <c r="C79" s="544"/>
      <c r="D79" s="544"/>
      <c r="E79" s="544"/>
      <c r="F79" s="544"/>
      <c r="G79" s="544"/>
      <c r="H79" s="562"/>
      <c r="I79" s="544"/>
      <c r="J79" s="558"/>
    </row>
    <row r="80" spans="1:10" ht="14.25">
      <c r="A80" s="544"/>
      <c r="B80" s="544"/>
      <c r="C80" s="544"/>
      <c r="D80" s="544"/>
      <c r="E80" s="544"/>
      <c r="F80" s="544"/>
      <c r="G80" s="544"/>
      <c r="H80" s="562"/>
      <c r="I80" s="544"/>
      <c r="J80" s="558"/>
    </row>
    <row r="81" spans="1:10" ht="14.25">
      <c r="A81" s="544"/>
      <c r="B81" s="544"/>
      <c r="C81" s="544"/>
      <c r="D81" s="544"/>
      <c r="E81" s="544"/>
      <c r="F81" s="544"/>
      <c r="G81" s="544"/>
      <c r="H81" s="562"/>
      <c r="I81" s="544"/>
      <c r="J81" s="558"/>
    </row>
    <row r="82" spans="1:10" ht="14.25">
      <c r="A82" s="544"/>
      <c r="B82" s="544"/>
      <c r="C82" s="544"/>
      <c r="D82" s="544"/>
      <c r="E82" s="544"/>
      <c r="F82" s="751"/>
      <c r="G82" s="751"/>
      <c r="H82" s="562"/>
      <c r="I82" s="544"/>
      <c r="J82" s="558"/>
    </row>
    <row r="83" spans="1:10" ht="14.25">
      <c r="A83" s="281"/>
      <c r="B83" s="753"/>
      <c r="C83" s="753"/>
      <c r="D83" s="753"/>
      <c r="E83" s="753"/>
      <c r="F83" s="753"/>
      <c r="G83" s="753"/>
      <c r="H83" s="562"/>
      <c r="I83" s="544"/>
      <c r="J83" s="571"/>
    </row>
    <row r="84" spans="1:10" ht="14.25">
      <c r="A84" s="281"/>
      <c r="B84" s="753"/>
      <c r="C84" s="753"/>
      <c r="D84" s="753"/>
      <c r="E84" s="753"/>
      <c r="F84" s="753"/>
      <c r="G84" s="753"/>
      <c r="H84" s="562"/>
      <c r="I84" s="544"/>
      <c r="J84" s="571"/>
    </row>
    <row r="85" spans="1:10" ht="14.25">
      <c r="A85" s="544"/>
      <c r="B85" s="544"/>
      <c r="C85" s="544"/>
      <c r="D85" s="544"/>
      <c r="E85" s="544"/>
      <c r="F85" s="751"/>
      <c r="G85" s="751"/>
      <c r="H85" s="562"/>
      <c r="I85" s="544"/>
      <c r="J85" s="558"/>
    </row>
    <row r="86" spans="1:10" ht="14.25">
      <c r="A86" s="544"/>
      <c r="B86" s="544"/>
      <c r="C86" s="544"/>
      <c r="D86" s="544"/>
      <c r="E86" s="544"/>
      <c r="F86" s="544"/>
      <c r="G86" s="544"/>
      <c r="H86" s="567"/>
      <c r="I86" s="544"/>
      <c r="J86" s="558"/>
    </row>
    <row r="87" spans="1:10" ht="14.25">
      <c r="A87" s="557"/>
      <c r="B87" s="544"/>
      <c r="C87" s="544"/>
      <c r="D87" s="544"/>
      <c r="E87" s="544"/>
      <c r="F87" s="544"/>
      <c r="G87" s="544"/>
      <c r="H87" s="562"/>
      <c r="I87" s="544"/>
      <c r="J87" s="558"/>
    </row>
    <row r="88" spans="1:10" ht="14.25">
      <c r="A88" s="544"/>
      <c r="B88" s="544"/>
      <c r="C88" s="544"/>
      <c r="D88" s="544"/>
      <c r="E88" s="544"/>
      <c r="F88" s="544"/>
      <c r="G88" s="544"/>
      <c r="H88" s="562"/>
      <c r="I88" s="544"/>
      <c r="J88" s="558"/>
    </row>
    <row r="89" spans="1:10" ht="14.25">
      <c r="A89" s="544"/>
      <c r="B89" s="544"/>
      <c r="C89" s="544"/>
      <c r="D89" s="544"/>
      <c r="E89" s="544"/>
      <c r="F89" s="544"/>
      <c r="G89" s="544"/>
      <c r="H89" s="562"/>
      <c r="I89" s="544"/>
      <c r="J89" s="558"/>
    </row>
    <row r="90" spans="1:10" ht="14.25">
      <c r="A90" s="544"/>
      <c r="B90" s="544"/>
      <c r="C90" s="544"/>
      <c r="D90" s="544"/>
      <c r="E90" s="544"/>
      <c r="F90" s="751"/>
      <c r="G90" s="751"/>
      <c r="H90" s="562"/>
      <c r="I90" s="544"/>
      <c r="J90" s="558"/>
    </row>
    <row r="91" spans="1:10" ht="14.25">
      <c r="A91" s="281"/>
      <c r="B91" s="753"/>
      <c r="C91" s="753"/>
      <c r="D91" s="753"/>
      <c r="E91" s="753"/>
      <c r="F91" s="753"/>
      <c r="G91" s="753"/>
      <c r="H91" s="562"/>
      <c r="I91" s="544"/>
      <c r="J91" s="571"/>
    </row>
    <row r="92" spans="1:10" ht="14.25">
      <c r="A92" s="281"/>
      <c r="B92" s="753"/>
      <c r="C92" s="753"/>
      <c r="D92" s="753"/>
      <c r="E92" s="753"/>
      <c r="F92" s="753"/>
      <c r="G92" s="753"/>
      <c r="H92" s="562"/>
      <c r="I92" s="544"/>
      <c r="J92" s="571"/>
    </row>
    <row r="93" spans="1:10" ht="14.25">
      <c r="A93" s="544"/>
      <c r="B93" s="544"/>
      <c r="C93" s="544"/>
      <c r="D93" s="544"/>
      <c r="E93" s="544"/>
      <c r="F93" s="751"/>
      <c r="G93" s="751"/>
      <c r="H93" s="562"/>
      <c r="I93" s="544"/>
      <c r="J93" s="558"/>
    </row>
    <row r="94" spans="1:10" ht="14.25">
      <c r="A94" s="544"/>
      <c r="B94" s="544"/>
      <c r="C94" s="544"/>
      <c r="D94" s="544"/>
      <c r="E94" s="544"/>
      <c r="F94" s="544"/>
      <c r="G94" s="544"/>
      <c r="H94" s="567"/>
      <c r="I94" s="544"/>
      <c r="J94" s="558"/>
    </row>
    <row r="95" spans="1:10" ht="14.25">
      <c r="A95" s="557"/>
      <c r="B95" s="544"/>
      <c r="C95" s="544"/>
      <c r="D95" s="544"/>
      <c r="E95" s="544"/>
      <c r="F95" s="544"/>
      <c r="G95" s="544"/>
      <c r="H95" s="562"/>
      <c r="I95" s="544"/>
      <c r="J95" s="558"/>
    </row>
    <row r="96" spans="1:10" ht="14.25">
      <c r="A96" s="544"/>
      <c r="B96" s="544"/>
      <c r="C96" s="544"/>
      <c r="D96" s="544"/>
      <c r="E96" s="544"/>
      <c r="F96" s="544"/>
      <c r="G96" s="544"/>
      <c r="H96" s="562"/>
      <c r="I96" s="544"/>
      <c r="J96" s="558"/>
    </row>
    <row r="97" spans="1:10" ht="14.25">
      <c r="A97" s="544"/>
      <c r="B97" s="544"/>
      <c r="C97" s="544"/>
      <c r="D97" s="544"/>
      <c r="E97" s="544"/>
      <c r="F97" s="544"/>
      <c r="G97" s="544"/>
      <c r="H97" s="562"/>
      <c r="I97" s="544"/>
      <c r="J97" s="558"/>
    </row>
    <row r="98" spans="1:10" ht="14.25">
      <c r="A98" s="544"/>
      <c r="B98" s="544"/>
      <c r="C98" s="544"/>
      <c r="D98" s="544"/>
      <c r="E98" s="544"/>
      <c r="F98" s="751"/>
      <c r="G98" s="751"/>
      <c r="H98" s="562"/>
      <c r="I98" s="544"/>
      <c r="J98" s="558"/>
    </row>
    <row r="99" spans="1:10" ht="14.25">
      <c r="A99" s="281"/>
      <c r="B99" s="753"/>
      <c r="C99" s="753"/>
      <c r="D99" s="753"/>
      <c r="E99" s="753"/>
      <c r="F99" s="753"/>
      <c r="G99" s="753"/>
      <c r="H99" s="562"/>
      <c r="I99" s="544"/>
      <c r="J99" s="571"/>
    </row>
    <row r="100" spans="1:10" ht="14.25">
      <c r="A100" s="281"/>
      <c r="B100" s="753"/>
      <c r="C100" s="753"/>
      <c r="D100" s="753"/>
      <c r="E100" s="753"/>
      <c r="F100" s="753"/>
      <c r="G100" s="753"/>
      <c r="H100" s="562"/>
      <c r="I100" s="544"/>
      <c r="J100" s="571"/>
    </row>
    <row r="101" spans="1:10" ht="14.25">
      <c r="A101" s="544"/>
      <c r="B101" s="544"/>
      <c r="C101" s="544"/>
      <c r="D101" s="544"/>
      <c r="E101" s="544"/>
      <c r="F101" s="751"/>
      <c r="G101" s="751"/>
      <c r="H101" s="562"/>
      <c r="I101" s="544"/>
      <c r="J101" s="558"/>
    </row>
    <row r="102" spans="1:10" ht="15">
      <c r="A102" s="752"/>
      <c r="B102" s="752"/>
      <c r="C102" s="752"/>
      <c r="D102" s="752"/>
      <c r="E102" s="752"/>
      <c r="F102" s="752"/>
      <c r="G102" s="752"/>
      <c r="H102" s="572"/>
      <c r="I102" s="546"/>
      <c r="J102" s="573"/>
    </row>
    <row r="103" spans="1:10">
      <c r="A103" s="550"/>
      <c r="B103" s="550"/>
      <c r="C103" s="550"/>
      <c r="D103" s="550"/>
      <c r="E103" s="550"/>
      <c r="F103" s="550"/>
      <c r="G103" s="550"/>
      <c r="I103" s="550"/>
      <c r="J103" s="550"/>
    </row>
  </sheetData>
  <mergeCells count="63">
    <mergeCell ref="A9:J9"/>
    <mergeCell ref="B7:G7"/>
    <mergeCell ref="I33:J33"/>
    <mergeCell ref="F33:H33"/>
    <mergeCell ref="B26:J26"/>
    <mergeCell ref="B20:G20"/>
    <mergeCell ref="B21:G21"/>
    <mergeCell ref="F22:G22"/>
    <mergeCell ref="B23:G23"/>
    <mergeCell ref="F24:G24"/>
    <mergeCell ref="F15:G15"/>
    <mergeCell ref="B16:G16"/>
    <mergeCell ref="C17:G17"/>
    <mergeCell ref="C18:G18"/>
    <mergeCell ref="A33:B33"/>
    <mergeCell ref="C33:D33"/>
    <mergeCell ref="F28:G28"/>
    <mergeCell ref="B10:C10"/>
    <mergeCell ref="B11:C11"/>
    <mergeCell ref="B12:C12"/>
    <mergeCell ref="B13:C13"/>
    <mergeCell ref="B14:C14"/>
    <mergeCell ref="F43:G43"/>
    <mergeCell ref="F32:G32"/>
    <mergeCell ref="F35:G35"/>
    <mergeCell ref="F40:G40"/>
    <mergeCell ref="B41:G41"/>
    <mergeCell ref="B42:G42"/>
    <mergeCell ref="B99:G99"/>
    <mergeCell ref="B100:G100"/>
    <mergeCell ref="A3:J3"/>
    <mergeCell ref="F67:G67"/>
    <mergeCell ref="F48:G48"/>
    <mergeCell ref="B49:G49"/>
    <mergeCell ref="B50:G50"/>
    <mergeCell ref="F51:G51"/>
    <mergeCell ref="F56:G56"/>
    <mergeCell ref="B57:G57"/>
    <mergeCell ref="B58:G58"/>
    <mergeCell ref="F59:G59"/>
    <mergeCell ref="F64:G64"/>
    <mergeCell ref="B65:G65"/>
    <mergeCell ref="B66:G66"/>
    <mergeCell ref="C19:G19"/>
    <mergeCell ref="B8:G8"/>
    <mergeCell ref="A1:J1"/>
    <mergeCell ref="B2:J2"/>
    <mergeCell ref="F101:G101"/>
    <mergeCell ref="A102:E102"/>
    <mergeCell ref="F102:G102"/>
    <mergeCell ref="F93:G93"/>
    <mergeCell ref="F74:G74"/>
    <mergeCell ref="B75:G75"/>
    <mergeCell ref="B76:G76"/>
    <mergeCell ref="F77:G77"/>
    <mergeCell ref="F82:G82"/>
    <mergeCell ref="B83:G83"/>
    <mergeCell ref="B84:G84"/>
    <mergeCell ref="F85:G85"/>
    <mergeCell ref="F90:G90"/>
    <mergeCell ref="B91:G91"/>
    <mergeCell ref="B92:G92"/>
    <mergeCell ref="F98:G9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HP NP4</vt:lpstr>
      <vt:lpstr>RCC SD</vt:lpstr>
      <vt:lpstr>School Extension (Modified)</vt:lpstr>
      <vt:lpstr>Mawblei (Original)</vt:lpstr>
      <vt:lpstr>Science Labaratory (Option 2)</vt:lpstr>
      <vt:lpstr>Science Labaratory</vt:lpstr>
      <vt:lpstr>GENERAL ABSTRACT (Modified)</vt:lpstr>
      <vt:lpstr>Abstract</vt:lpstr>
      <vt:lpstr>Abstract!Print_Area</vt:lpstr>
      <vt:lpstr>'Mawblei (Original)'!Print_Area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2020-10-09T06:59:34Z</cp:lastPrinted>
  <dcterms:created xsi:type="dcterms:W3CDTF">2004-10-21T05:33:29Z</dcterms:created>
  <dcterms:modified xsi:type="dcterms:W3CDTF">2021-02-19T09:58:33Z</dcterms:modified>
</cp:coreProperties>
</file>